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8760" windowHeight="4815" activeTab="0"/>
  </bookViews>
  <sheets>
    <sheet name="Начало" sheetId="1" r:id="rId1"/>
    <sheet name="Начальные затраты" sheetId="2" r:id="rId2"/>
    <sheet name="Анализ рынка" sheetId="3" r:id="rId3"/>
    <sheet name="Себестоимость" sheetId="4" r:id="rId4"/>
    <sheet name="План продаж" sheetId="5" r:id="rId5"/>
    <sheet name="Штатное расписание" sheetId="6" r:id="rId6"/>
    <sheet name="Плановый баланс" sheetId="7" r:id="rId7"/>
    <sheet name="План прибылей и убытков" sheetId="8" r:id="rId8"/>
    <sheet name="План движения денежных средств" sheetId="9" r:id="rId9"/>
    <sheet name="Анализ безубыточности" sheetId="10" r:id="rId10"/>
    <sheet name="Ключевые финансовые показатели" sheetId="11" r:id="rId11"/>
  </sheets>
  <externalReferences>
    <externalReference r:id="rId14"/>
    <externalReference r:id="rId15"/>
  </externalReferences>
  <definedNames>
    <definedName name="BeginYear">'Начало'!$D$9</definedName>
    <definedName name="Fixed_cost">'Анализ безубыточности'!$C$9</definedName>
    <definedName name="Price_per_unit">'Анализ безубыточности'!$C$7</definedName>
    <definedName name="SFCA">'[2]Start'!#REF!</definedName>
    <definedName name="Variable_cost_per_unit">'Анализ безубыточности'!$C$8</definedName>
    <definedName name="Баланс">'[1]Плановый баланс'!$B$4</definedName>
    <definedName name="Затраты_продажи_2007">'План продаж'!$C$14</definedName>
    <definedName name="Затраты_продажи_2008">'План продаж'!$D$14</definedName>
    <definedName name="Затраты_продажи_2009">'План продаж'!$E$14</definedName>
    <definedName name="Затраты_штат_2007">'Штатное расписание'!$E$12</definedName>
    <definedName name="Затраты_штат_2008">'Штатное расписание'!$H$12</definedName>
    <definedName name="Затраты_штат_2009">'Штатное расписание'!$K$12</definedName>
    <definedName name="_xlnm.Print_Area" localSheetId="9">'Анализ безубыточности'!$B$2:$C$9</definedName>
    <definedName name="_xlnm.Print_Area" localSheetId="2">'Анализ рынка'!$B$2:$E$7</definedName>
    <definedName name="_xlnm.Print_Area" localSheetId="10">'Ключевые финансовые показатели'!$A$1:$D$15</definedName>
    <definedName name="_xlnm.Print_Area" localSheetId="0">'Начало'!$A$1:$G$19</definedName>
    <definedName name="_xlnm.Print_Area" localSheetId="1">'Начальные затраты'!$A$1:$D$26</definedName>
    <definedName name="_xlnm.Print_Area" localSheetId="8">'План движения денежных средств'!$A$1:$C$28</definedName>
    <definedName name="_xlnm.Print_Area" localSheetId="7">'План прибылей и убытков'!$A$1:$F$17</definedName>
    <definedName name="_xlnm.Print_Area" localSheetId="4">'План продаж'!$A$1:$F$16</definedName>
    <definedName name="_xlnm.Print_Area" localSheetId="6">'Плановый баланс'!$A$1:$G$34</definedName>
    <definedName name="_xlnm.Print_Area" localSheetId="3">'Себестоимость'!$A$1:$F$11</definedName>
    <definedName name="_xlnm.Print_Area" localSheetId="5">'Штатное расписание'!$A$1:$L$14</definedName>
    <definedName name="Продажи_2007">'План продаж'!$C$7</definedName>
    <definedName name="Продажи_2008">'План продаж'!$D$7</definedName>
    <definedName name="Продажи_2009">'План продаж'!$E$7</definedName>
    <definedName name="Продажи_FirstYear">'План продаж'!$C$7</definedName>
    <definedName name="Продажи_FirstYeat">'План продаж'!$C$7</definedName>
    <definedName name="Продажи1">'План продаж'!$C$7</definedName>
    <definedName name="Себестоимость">'План прибылей и убытков'!$E$5</definedName>
    <definedName name="Себестоимость_2007">'Себестоимость'!$C$8</definedName>
    <definedName name="Себестоимость_2008">'Себестоимость'!$D$8</definedName>
    <definedName name="Себестоимость_2009">'Себестоимость'!$E$8</definedName>
    <definedName name="ЫАСФ">'[2]Start'!#REF!</definedName>
    <definedName name="ьтлолд78">'План продаж'!$C$7</definedName>
  </definedNames>
  <calcPr fullCalcOnLoad="1"/>
</workbook>
</file>

<file path=xl/sharedStrings.xml><?xml version="1.0" encoding="utf-8"?>
<sst xmlns="http://schemas.openxmlformats.org/spreadsheetml/2006/main" count="195" uniqueCount="169">
  <si>
    <t>Чистая выручка от реализации продукции</t>
  </si>
  <si>
    <t>Себестоимость реализованной продукции</t>
  </si>
  <si>
    <t>Валовая прибыль</t>
  </si>
  <si>
    <t>Амортизация</t>
  </si>
  <si>
    <t>Общие операционные расходы</t>
  </si>
  <si>
    <t>Операционная прибыль</t>
  </si>
  <si>
    <t>Общие неоперационные расходы</t>
  </si>
  <si>
    <t>Прибыль до уплаты налога на прибыль</t>
  </si>
  <si>
    <t>Чистая прибыль</t>
  </si>
  <si>
    <t>План прибылей и убытков</t>
  </si>
  <si>
    <t>Налог на прибыль</t>
  </si>
  <si>
    <t>Денежные потоки от операционной деятельности</t>
  </si>
  <si>
    <t>Приведение в соответствие чистой прибыли и чистого денежного потока от операционной деятельности:</t>
  </si>
  <si>
    <t>Изменения в активах и обязательствах</t>
  </si>
  <si>
    <t>Увеличение дебиторской задолженности</t>
  </si>
  <si>
    <t>Увеличение товарно-материальных запасов</t>
  </si>
  <si>
    <t>Увеличение кредиторской задолженности</t>
  </si>
  <si>
    <t>Другое</t>
  </si>
  <si>
    <t>Чистый денежный поток от операционной деятельности</t>
  </si>
  <si>
    <t>Денежные потоки от инвестиционной деятельности</t>
  </si>
  <si>
    <t>Капитальные затраты</t>
  </si>
  <si>
    <t>Чистый денежный поток от инвестиционной деятельности</t>
  </si>
  <si>
    <t>Денежные потоки от финансовой деятельности</t>
  </si>
  <si>
    <t>Чистое увеличение долгосрочных займов</t>
  </si>
  <si>
    <t>Выплаченные дивиденды</t>
  </si>
  <si>
    <t>Чистый денежный поток от финансовой деятельности</t>
  </si>
  <si>
    <t>Чистое увеличение (уменьшение) денежных средств</t>
  </si>
  <si>
    <t>Общие расходы</t>
  </si>
  <si>
    <t>Расходы на уплату процентов</t>
  </si>
  <si>
    <t>Другие неоперационные расходы</t>
  </si>
  <si>
    <t>Активы</t>
  </si>
  <si>
    <t>Денежные средства</t>
  </si>
  <si>
    <t>Товарно-материальные запасы</t>
  </si>
  <si>
    <t>Другие текущие активы</t>
  </si>
  <si>
    <t>Общие текущие активы</t>
  </si>
  <si>
    <t>Недвижимость и оборудование</t>
  </si>
  <si>
    <t>Минус накопленные амортизационные отчисления</t>
  </si>
  <si>
    <t>Чистая недвижимость и оборудование</t>
  </si>
  <si>
    <t>Нематериальные активы</t>
  </si>
  <si>
    <t>Другие активы</t>
  </si>
  <si>
    <t>Общие активы</t>
  </si>
  <si>
    <t>Обязательства и капитал акционеров</t>
  </si>
  <si>
    <t>Краткосрочные обязательства</t>
  </si>
  <si>
    <t>Кредиторская задолженность</t>
  </si>
  <si>
    <t>Налог на прибыль к уплате</t>
  </si>
  <si>
    <t>Начисленные расходы</t>
  </si>
  <si>
    <t>Другие текущие обязательства</t>
  </si>
  <si>
    <t>Долгосрочные обязательства</t>
  </si>
  <si>
    <t>Другие долгосрочные обязательства</t>
  </si>
  <si>
    <t>Обычные акции</t>
  </si>
  <si>
    <t>Общий капитал акционеров</t>
  </si>
  <si>
    <t>Общие обязательства и капитал акционеров</t>
  </si>
  <si>
    <t>Ценные бумаги</t>
  </si>
  <si>
    <t>Дебиторская задолженность</t>
  </si>
  <si>
    <t>Совокупный объем продаж</t>
  </si>
  <si>
    <t>План продаж</t>
  </si>
  <si>
    <t>Себестоимость</t>
  </si>
  <si>
    <t>Общая себестоимость</t>
  </si>
  <si>
    <t>Штатное расписание</t>
  </si>
  <si>
    <t>Всего:</t>
  </si>
  <si>
    <t>Затраты на продажи</t>
  </si>
  <si>
    <t>Общие затраты на продажи</t>
  </si>
  <si>
    <t>Плановый баланс</t>
  </si>
  <si>
    <t>План движения денежных средств</t>
  </si>
  <si>
    <t xml:space="preserve">Анализ рынка </t>
  </si>
  <si>
    <t>Рыночные сегменты</t>
  </si>
  <si>
    <t>Всего</t>
  </si>
  <si>
    <t>Анализ безубыточности</t>
  </si>
  <si>
    <t>Отпускная цена</t>
  </si>
  <si>
    <t>Валовая маржа</t>
  </si>
  <si>
    <t>Рентабельность собственного капитала</t>
  </si>
  <si>
    <t>Рентабельность продаж</t>
  </si>
  <si>
    <t>Средний период инкассирования</t>
  </si>
  <si>
    <t>Оборачиваемость товарно-материальных запасов</t>
  </si>
  <si>
    <t>Оборачиваемость основных активов</t>
  </si>
  <si>
    <t>Оборачиваемость кредиторской задолженности</t>
  </si>
  <si>
    <t>Отношение задолженности к активам</t>
  </si>
  <si>
    <t>Коэффициент текущей ликвидности</t>
  </si>
  <si>
    <t>Коэффициент мгновенной ликвидности (“кислотный тест”)</t>
  </si>
  <si>
    <t>Валовая прибыль/Чистая выручка от реализации продукции</t>
  </si>
  <si>
    <t>Название</t>
  </si>
  <si>
    <t>Как считать</t>
  </si>
  <si>
    <t>Результат</t>
  </si>
  <si>
    <t>Чистая прибыль/Общий капитал акционеров</t>
  </si>
  <si>
    <t>Чистая прибыль/Чистая выручка от реализации продукции</t>
  </si>
  <si>
    <t>Рентабельность активов</t>
  </si>
  <si>
    <t>Рентабельность продаж Х Оборачиваемость активов ИЛИ Чистая прибыль/Общие активы</t>
  </si>
  <si>
    <t>Себестоимость реализованной продукции/Товарно-материальные запасы на конец года</t>
  </si>
  <si>
    <t>Чистая выручка от реализации продукции/Чистая недвижимость и оборудование</t>
  </si>
  <si>
    <t>Суммарные обязательства/Общие активы</t>
  </si>
  <si>
    <t>Общие текущие обязательства</t>
  </si>
  <si>
    <t>Общие обязательства</t>
  </si>
  <si>
    <t>Общие текущие активы/Общие текущие обязательства</t>
  </si>
  <si>
    <t>(Общие текущие активы - Товарно-материальные запасы)/Общие текущие обязательства</t>
  </si>
  <si>
    <t>Расчеты для разработки бизнес-плана</t>
  </si>
  <si>
    <t>Вручную вводятся только данные выделенные зеленым цветом</t>
  </si>
  <si>
    <t>Название таблицы</t>
  </si>
  <si>
    <t>Анализ рынка</t>
  </si>
  <si>
    <t>Изменение в значении</t>
  </si>
  <si>
    <t>Ключевые финансовые показатели</t>
  </si>
  <si>
    <t>Нехватка капитала для начала работы</t>
  </si>
  <si>
    <t>Общие затраты</t>
  </si>
  <si>
    <t>Начальные затраты</t>
  </si>
  <si>
    <t>Фиксированные затраты</t>
  </si>
  <si>
    <t xml:space="preserve">Безубыточный объем продаж, шт. </t>
  </si>
  <si>
    <t>Безубыточный объем продаж, руб.</t>
  </si>
  <si>
    <t>При необходимости добавьте либо удалите статьи</t>
  </si>
  <si>
    <t>Активы автоматически берутся из планового баланса</t>
  </si>
  <si>
    <t>Внимание! Не вводите активы в ручную, т.к. это нарушит последующие расчеты</t>
  </si>
  <si>
    <t>При необходимости добавьте либо удалите товары</t>
  </si>
  <si>
    <t>Инструкции по использованию таблицы:</t>
  </si>
  <si>
    <t>Нехватка капитала - это разница между общими активами и общими затрати</t>
  </si>
  <si>
    <t>Названия товаров автоматически берутся из плана продаж</t>
  </si>
  <si>
    <t>Внимание! Затраты на штат по годам считаются автоматически на основании введенной информации о зарплате по должностям и количеству сотрудников на данной должности</t>
  </si>
  <si>
    <t>Введите названия сегментов, отмеченные зеленым цветом и размеры сегментов в руб. по годам</t>
  </si>
  <si>
    <t>Инструкции по использованию таблиц:</t>
  </si>
  <si>
    <t>Начните ввод данных с планового баланса</t>
  </si>
  <si>
    <t>Введите названия товаров, отмеченные зеленым цветом и соответствующие суммы себестоимостей</t>
  </si>
  <si>
    <t>Введите названия товаров, отмеченные зеленым цветом и планируемые объемы продаж по годам</t>
  </si>
  <si>
    <t>Введите названия должностей и количество сотрудников на каждой должности по годам</t>
  </si>
  <si>
    <t>Введите названия статей затрат, отмеченные зеленым цветом и соответствующие суммы затрат</t>
  </si>
  <si>
    <t xml:space="preserve">Внимание! Не вводите в ручную названия товаров в разделе "Затраты на продажи", </t>
  </si>
  <si>
    <t>Не вводите в ручную данные в колонки "Затраты на штат" по годам, так как это нарушит дальнейшие расчеты</t>
  </si>
  <si>
    <t>Все остальные статьи считаются автоматически</t>
  </si>
  <si>
    <t>Введите плановую амортизацию, налог на прибыль, расходы на уплату процентов и другие неоперационные расходы</t>
  </si>
  <si>
    <t>Изменение других активов</t>
  </si>
  <si>
    <t>Покупка ценных бумаг</t>
  </si>
  <si>
    <t>(Дебиторская задолженность/Чистая выручка от реализации продукции)*365</t>
  </si>
  <si>
    <t>(Кредиторская задолженность/Себестоимость реализованной продукции)*365</t>
  </si>
  <si>
    <t>Введите статьи, отмеченные зеленым</t>
  </si>
  <si>
    <t>Товар</t>
  </si>
  <si>
    <t>Зарплата</t>
  </si>
  <si>
    <t>Кол-во сотрудников</t>
  </si>
  <si>
    <t>Затраты на штат</t>
  </si>
  <si>
    <t>Введите начальный год разработки плана</t>
  </si>
  <si>
    <t>Предположения:</t>
  </si>
  <si>
    <t>Не трогать</t>
  </si>
  <si>
    <t>Объем продаж, шт.</t>
  </si>
  <si>
    <t>Переменные издержки</t>
  </si>
  <si>
    <t>Суммарные издержки</t>
  </si>
  <si>
    <t>Объем продаж</t>
  </si>
  <si>
    <t>Переменные затраты</t>
  </si>
  <si>
    <t>Налог на прибыль составляет 30% валовой прибыли</t>
  </si>
  <si>
    <t>Денежные средства в начале плана</t>
  </si>
  <si>
    <t>Денежные средства в конце плана</t>
  </si>
  <si>
    <t>Займы</t>
  </si>
  <si>
    <t>Обучение персонала</t>
  </si>
  <si>
    <t>Введите планируемые затраты на продажи каждого товара по годам</t>
  </si>
  <si>
    <t>Аренда помещения</t>
  </si>
  <si>
    <t>Ремонт помещения</t>
  </si>
  <si>
    <t>Холодильное оборудование</t>
  </si>
  <si>
    <t>Торговое оборудование</t>
  </si>
  <si>
    <t>Кассовое оборудование</t>
  </si>
  <si>
    <t>Компьютеры</t>
  </si>
  <si>
    <t>Программное обеспечение</t>
  </si>
  <si>
    <t>Лицензии</t>
  </si>
  <si>
    <t>Рекламная кампания</t>
  </si>
  <si>
    <t>Прочие расходы</t>
  </si>
  <si>
    <t>Диабет 1-го типа</t>
  </si>
  <si>
    <t>Диабет 2-го типа</t>
  </si>
  <si>
    <t>Продажи лекарств</t>
  </si>
  <si>
    <t>Выполнение заказов</t>
  </si>
  <si>
    <t>Справочная</t>
  </si>
  <si>
    <t>Директор аптеки</t>
  </si>
  <si>
    <t>Главный фармацевт</t>
  </si>
  <si>
    <t>Эндокринолог</t>
  </si>
  <si>
    <t>Провизор</t>
  </si>
  <si>
    <t>Консультант</t>
  </si>
  <si>
    <t>Бухгалтер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</si>
</sst>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#,##0.00&quot;р.&quot;"/>
    <numFmt numFmtId="177" formatCode="#,##0[$р.-419]"/>
    <numFmt numFmtId="178" formatCode="#,##0.00[$р.-419]"/>
    <numFmt numFmtId="179" formatCode="[$-422]d\ mmmm\ yyyy&quot; р.&quot;"/>
    <numFmt numFmtId="180" formatCode="_-* #,##0.00[$р.-419]_-;\-* #,##0.00[$р.-419]_-;_-* &quot;-&quot;??[$р.-419]_-;_-@_-"/>
    <numFmt numFmtId="181" formatCode="#,##0.00[$р.-419];[Red]\-#,##0.00[$р.-419]"/>
    <numFmt numFmtId="182" formatCode="#,##0_ ;[Red]\-#,##0\ "/>
    <numFmt numFmtId="183" formatCode="[$-F800]dddd\,\ mmmm\ dd\,\ yyyy"/>
    <numFmt numFmtId="184" formatCode="0.0%"/>
    <numFmt numFmtId="185" formatCode="[$$-1009]#,##0"/>
    <numFmt numFmtId="186" formatCode="[$$-1009]#,##0.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&quot;р.&quot;"/>
  </numFmts>
  <fonts count="66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2"/>
      <color indexed="57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 Cyr"/>
      <family val="0"/>
    </font>
    <font>
      <b/>
      <sz val="10"/>
      <name val="Arial Cyr"/>
      <family val="0"/>
    </font>
    <font>
      <sz val="10"/>
      <color indexed="57"/>
      <name val="Arial"/>
      <family val="2"/>
    </font>
    <font>
      <sz val="10"/>
      <name val="Arial Cyr"/>
      <family val="0"/>
    </font>
    <font>
      <sz val="10"/>
      <color indexed="57"/>
      <name val="Arial Cyr"/>
      <family val="0"/>
    </font>
    <font>
      <b/>
      <i/>
      <sz val="16"/>
      <color indexed="17"/>
      <name val="Arial Cyr"/>
      <family val="0"/>
    </font>
    <font>
      <b/>
      <sz val="14"/>
      <color indexed="2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b/>
      <u val="single"/>
      <sz val="14"/>
      <color indexed="12"/>
      <name val="Arial Cyr"/>
      <family val="0"/>
    </font>
    <font>
      <sz val="10"/>
      <color indexed="17"/>
      <name val="Arial"/>
      <family val="0"/>
    </font>
    <font>
      <sz val="10"/>
      <color indexed="17"/>
      <name val="Arial Cyr"/>
      <family val="0"/>
    </font>
    <font>
      <i/>
      <sz val="10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sz val="14"/>
      <name val="Arial Cyr"/>
      <family val="2"/>
    </font>
    <font>
      <i/>
      <sz val="10"/>
      <color indexed="57"/>
      <name val="Arial"/>
      <family val="2"/>
    </font>
    <font>
      <sz val="8"/>
      <name val="Arial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4" fillId="0" borderId="0">
      <alignment/>
      <protection/>
    </xf>
    <xf numFmtId="0" fontId="19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17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12" fillId="34" borderId="11" xfId="0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2" fillId="34" borderId="12" xfId="0" applyFont="1" applyFill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2" fillId="34" borderId="16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81" fontId="1" fillId="0" borderId="18" xfId="0" applyNumberFormat="1" applyFont="1" applyBorder="1" applyAlignment="1">
      <alignment vertical="center" wrapText="1"/>
    </xf>
    <xf numFmtId="0" fontId="0" fillId="0" borderId="19" xfId="0" applyFont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justify"/>
    </xf>
    <xf numFmtId="0" fontId="0" fillId="0" borderId="21" xfId="0" applyFont="1" applyFill="1" applyBorder="1" applyAlignment="1">
      <alignment horizontal="left" vertical="justify"/>
    </xf>
    <xf numFmtId="0" fontId="0" fillId="0" borderId="22" xfId="0" applyFont="1" applyFill="1" applyBorder="1" applyAlignment="1">
      <alignment horizontal="left" vertical="justify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justify"/>
    </xf>
    <xf numFmtId="10" fontId="0" fillId="0" borderId="17" xfId="0" applyNumberFormat="1" applyFont="1" applyBorder="1" applyAlignment="1">
      <alignment horizontal="center" vertical="center"/>
    </xf>
    <xf numFmtId="181" fontId="12" fillId="34" borderId="25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181" fontId="14" fillId="0" borderId="13" xfId="0" applyNumberFormat="1" applyFont="1" applyBorder="1" applyAlignment="1">
      <alignment/>
    </xf>
    <xf numFmtId="181" fontId="14" fillId="0" borderId="14" xfId="0" applyNumberFormat="1" applyFont="1" applyBorder="1" applyAlignment="1">
      <alignment/>
    </xf>
    <xf numFmtId="181" fontId="14" fillId="0" borderId="15" xfId="0" applyNumberFormat="1" applyFont="1" applyBorder="1" applyAlignment="1">
      <alignment/>
    </xf>
    <xf numFmtId="181" fontId="0" fillId="0" borderId="26" xfId="0" applyNumberFormat="1" applyBorder="1" applyAlignment="1">
      <alignment/>
    </xf>
    <xf numFmtId="0" fontId="1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181" fontId="10" fillId="0" borderId="27" xfId="0" applyNumberFormat="1" applyFont="1" applyBorder="1" applyAlignment="1">
      <alignment/>
    </xf>
    <xf numFmtId="181" fontId="10" fillId="0" borderId="28" xfId="0" applyNumberFormat="1" applyFont="1" applyBorder="1" applyAlignment="1">
      <alignment/>
    </xf>
    <xf numFmtId="0" fontId="12" fillId="34" borderId="29" xfId="0" applyFont="1" applyFill="1" applyBorder="1" applyAlignment="1">
      <alignment/>
    </xf>
    <xf numFmtId="181" fontId="12" fillId="34" borderId="29" xfId="0" applyNumberFormat="1" applyFont="1" applyFill="1" applyBorder="1" applyAlignment="1">
      <alignment/>
    </xf>
    <xf numFmtId="181" fontId="12" fillId="34" borderId="27" xfId="0" applyNumberFormat="1" applyFont="1" applyFill="1" applyBorder="1" applyAlignment="1">
      <alignment/>
    </xf>
    <xf numFmtId="181" fontId="12" fillId="34" borderId="28" xfId="0" applyNumberFormat="1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/>
    </xf>
    <xf numFmtId="181" fontId="10" fillId="34" borderId="29" xfId="43" applyNumberFormat="1" applyFont="1" applyFill="1" applyBorder="1" applyAlignment="1">
      <alignment/>
    </xf>
    <xf numFmtId="181" fontId="10" fillId="34" borderId="27" xfId="43" applyNumberFormat="1" applyFont="1" applyFill="1" applyBorder="1" applyAlignment="1">
      <alignment/>
    </xf>
    <xf numFmtId="181" fontId="10" fillId="34" borderId="28" xfId="43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181" fontId="10" fillId="34" borderId="30" xfId="0" applyNumberFormat="1" applyFont="1" applyFill="1" applyBorder="1" applyAlignment="1">
      <alignment/>
    </xf>
    <xf numFmtId="181" fontId="10" fillId="34" borderId="27" xfId="0" applyNumberFormat="1" applyFont="1" applyFill="1" applyBorder="1" applyAlignment="1">
      <alignment/>
    </xf>
    <xf numFmtId="181" fontId="10" fillId="34" borderId="28" xfId="0" applyNumberFormat="1" applyFont="1" applyFill="1" applyBorder="1" applyAlignment="1">
      <alignment/>
    </xf>
    <xf numFmtId="181" fontId="0" fillId="0" borderId="31" xfId="0" applyNumberFormat="1" applyFont="1" applyFill="1" applyBorder="1" applyAlignment="1">
      <alignment vertical="center"/>
    </xf>
    <xf numFmtId="181" fontId="0" fillId="0" borderId="32" xfId="0" applyNumberFormat="1" applyFont="1" applyFill="1" applyBorder="1" applyAlignment="1">
      <alignment vertical="center"/>
    </xf>
    <xf numFmtId="181" fontId="0" fillId="0" borderId="33" xfId="0" applyNumberFormat="1" applyFont="1" applyFill="1" applyBorder="1" applyAlignment="1">
      <alignment vertical="center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justify" vertical="top" wrapText="1"/>
    </xf>
    <xf numFmtId="181" fontId="1" fillId="34" borderId="16" xfId="0" applyNumberFormat="1" applyFont="1" applyFill="1" applyBorder="1" applyAlignment="1">
      <alignment vertical="center" wrapText="1"/>
    </xf>
    <xf numFmtId="181" fontId="12" fillId="34" borderId="16" xfId="0" applyNumberFormat="1" applyFont="1" applyFill="1" applyBorder="1" applyAlignment="1">
      <alignment/>
    </xf>
    <xf numFmtId="0" fontId="9" fillId="34" borderId="16" xfId="0" applyFont="1" applyFill="1" applyBorder="1" applyAlignment="1">
      <alignment/>
    </xf>
    <xf numFmtId="181" fontId="9" fillId="34" borderId="34" xfId="0" applyNumberFormat="1" applyFont="1" applyFill="1" applyBorder="1" applyAlignment="1">
      <alignment vertical="center"/>
    </xf>
    <xf numFmtId="182" fontId="9" fillId="34" borderId="28" xfId="0" applyNumberFormat="1" applyFont="1" applyFill="1" applyBorder="1" applyAlignment="1">
      <alignment horizontal="center" vertical="center"/>
    </xf>
    <xf numFmtId="181" fontId="9" fillId="34" borderId="28" xfId="0" applyNumberFormat="1" applyFont="1" applyFill="1" applyBorder="1" applyAlignment="1">
      <alignment vertical="center"/>
    </xf>
    <xf numFmtId="4" fontId="0" fillId="0" borderId="17" xfId="0" applyNumberFormat="1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0" fontId="16" fillId="35" borderId="16" xfId="0" applyFont="1" applyFill="1" applyBorder="1" applyAlignment="1">
      <alignment horizontal="center"/>
    </xf>
    <xf numFmtId="0" fontId="15" fillId="0" borderId="13" xfId="0" applyFont="1" applyBorder="1" applyAlignment="1" applyProtection="1">
      <alignment/>
      <protection locked="0"/>
    </xf>
    <xf numFmtId="181" fontId="22" fillId="0" borderId="13" xfId="0" applyNumberFormat="1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/>
      <protection locked="0"/>
    </xf>
    <xf numFmtId="181" fontId="22" fillId="0" borderId="14" xfId="0" applyNumberFormat="1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181" fontId="22" fillId="0" borderId="15" xfId="0" applyNumberFormat="1" applyFont="1" applyBorder="1" applyAlignment="1" applyProtection="1">
      <alignment/>
      <protection locked="0"/>
    </xf>
    <xf numFmtId="0" fontId="13" fillId="0" borderId="17" xfId="0" applyFont="1" applyFill="1" applyBorder="1" applyAlignment="1" applyProtection="1">
      <alignment horizontal="justify" vertical="top" wrapText="1"/>
      <protection locked="0"/>
    </xf>
    <xf numFmtId="181" fontId="21" fillId="0" borderId="36" xfId="0" applyNumberFormat="1" applyFont="1" applyFill="1" applyBorder="1" applyAlignment="1" applyProtection="1">
      <alignment/>
      <protection locked="0"/>
    </xf>
    <xf numFmtId="181" fontId="21" fillId="0" borderId="37" xfId="0" applyNumberFormat="1" applyFont="1" applyFill="1" applyBorder="1" applyAlignment="1" applyProtection="1">
      <alignment/>
      <protection locked="0"/>
    </xf>
    <xf numFmtId="181" fontId="21" fillId="0" borderId="38" xfId="0" applyNumberFormat="1" applyFont="1" applyFill="1" applyBorder="1" applyAlignment="1" applyProtection="1">
      <alignment/>
      <protection locked="0"/>
    </xf>
    <xf numFmtId="0" fontId="13" fillId="0" borderId="14" xfId="0" applyFont="1" applyFill="1" applyBorder="1" applyAlignment="1" applyProtection="1">
      <alignment horizontal="justify" vertical="top" wrapText="1"/>
      <protection locked="0"/>
    </xf>
    <xf numFmtId="181" fontId="21" fillId="0" borderId="39" xfId="0" applyNumberFormat="1" applyFont="1" applyFill="1" applyBorder="1" applyAlignment="1" applyProtection="1">
      <alignment/>
      <protection locked="0"/>
    </xf>
    <xf numFmtId="181" fontId="21" fillId="0" borderId="40" xfId="0" applyNumberFormat="1" applyFont="1" applyFill="1" applyBorder="1" applyAlignment="1" applyProtection="1">
      <alignment/>
      <protection locked="0"/>
    </xf>
    <xf numFmtId="181" fontId="21" fillId="0" borderId="32" xfId="0" applyNumberFormat="1" applyFont="1" applyFill="1" applyBorder="1" applyAlignment="1" applyProtection="1">
      <alignment/>
      <protection locked="0"/>
    </xf>
    <xf numFmtId="181" fontId="21" fillId="0" borderId="41" xfId="43" applyNumberFormat="1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181" fontId="21" fillId="0" borderId="19" xfId="43" applyNumberFormat="1" applyFont="1" applyBorder="1" applyAlignment="1" applyProtection="1">
      <alignment/>
      <protection locked="0"/>
    </xf>
    <xf numFmtId="181" fontId="21" fillId="0" borderId="36" xfId="0" applyNumberFormat="1" applyFont="1" applyBorder="1" applyAlignment="1" applyProtection="1">
      <alignment/>
      <protection locked="0"/>
    </xf>
    <xf numFmtId="181" fontId="21" fillId="0" borderId="37" xfId="0" applyNumberFormat="1" applyFont="1" applyBorder="1" applyAlignment="1" applyProtection="1">
      <alignment/>
      <protection locked="0"/>
    </xf>
    <xf numFmtId="181" fontId="21" fillId="0" borderId="38" xfId="0" applyNumberFormat="1" applyFont="1" applyBorder="1" applyAlignment="1" applyProtection="1">
      <alignment/>
      <protection locked="0"/>
    </xf>
    <xf numFmtId="181" fontId="21" fillId="0" borderId="39" xfId="0" applyNumberFormat="1" applyFont="1" applyBorder="1" applyAlignment="1" applyProtection="1">
      <alignment/>
      <protection locked="0"/>
    </xf>
    <xf numFmtId="181" fontId="21" fillId="0" borderId="40" xfId="0" applyNumberFormat="1" applyFont="1" applyBorder="1" applyAlignment="1" applyProtection="1">
      <alignment/>
      <protection locked="0"/>
    </xf>
    <xf numFmtId="181" fontId="21" fillId="0" borderId="32" xfId="0" applyNumberFormat="1" applyFont="1" applyBorder="1" applyAlignment="1" applyProtection="1">
      <alignment/>
      <protection locked="0"/>
    </xf>
    <xf numFmtId="181" fontId="21" fillId="0" borderId="23" xfId="0" applyNumberFormat="1" applyFont="1" applyBorder="1" applyAlignment="1" applyProtection="1">
      <alignment/>
      <protection locked="0"/>
    </xf>
    <xf numFmtId="181" fontId="21" fillId="0" borderId="19" xfId="0" applyNumberFormat="1" applyFont="1" applyBorder="1" applyAlignment="1" applyProtection="1">
      <alignment/>
      <protection locked="0"/>
    </xf>
    <xf numFmtId="0" fontId="21" fillId="0" borderId="13" xfId="0" applyFont="1" applyFill="1" applyBorder="1" applyAlignment="1" applyProtection="1">
      <alignment horizontal="justify" vertical="top" wrapText="1"/>
      <protection locked="0"/>
    </xf>
    <xf numFmtId="181" fontId="21" fillId="0" borderId="42" xfId="0" applyNumberFormat="1" applyFont="1" applyFill="1" applyBorder="1" applyAlignment="1" applyProtection="1">
      <alignment vertical="center" wrapText="1"/>
      <protection locked="0"/>
    </xf>
    <xf numFmtId="3" fontId="21" fillId="0" borderId="43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4" xfId="0" applyFont="1" applyFill="1" applyBorder="1" applyAlignment="1" applyProtection="1">
      <alignment horizontal="justify" vertical="top" wrapText="1"/>
      <protection locked="0"/>
    </xf>
    <xf numFmtId="181" fontId="21" fillId="0" borderId="39" xfId="0" applyNumberFormat="1" applyFont="1" applyFill="1" applyBorder="1" applyAlignment="1" applyProtection="1">
      <alignment vertical="center" wrapText="1"/>
      <protection locked="0"/>
    </xf>
    <xf numFmtId="3" fontId="21" fillId="0" borderId="40" xfId="0" applyNumberFormat="1" applyFont="1" applyFill="1" applyBorder="1" applyAlignment="1" applyProtection="1">
      <alignment horizontal="center" vertical="top" wrapText="1"/>
      <protection locked="0"/>
    </xf>
    <xf numFmtId="0" fontId="12" fillId="34" borderId="30" xfId="0" applyFont="1" applyFill="1" applyBorder="1" applyAlignment="1">
      <alignment/>
    </xf>
    <xf numFmtId="0" fontId="12" fillId="34" borderId="34" xfId="0" applyFont="1" applyFill="1" applyBorder="1" applyAlignment="1">
      <alignment/>
    </xf>
    <xf numFmtId="0" fontId="12" fillId="34" borderId="44" xfId="53" applyFont="1" applyFill="1" applyBorder="1">
      <alignment/>
      <protection/>
    </xf>
    <xf numFmtId="0" fontId="14" fillId="34" borderId="45" xfId="53" applyFill="1" applyBorder="1">
      <alignment/>
      <protection/>
    </xf>
    <xf numFmtId="0" fontId="14" fillId="0" borderId="0" xfId="53">
      <alignment/>
      <protection/>
    </xf>
    <xf numFmtId="0" fontId="12" fillId="0" borderId="44" xfId="53" applyFont="1" applyBorder="1">
      <alignment/>
      <protection/>
    </xf>
    <xf numFmtId="3" fontId="23" fillId="0" borderId="0" xfId="53" applyNumberFormat="1" applyFont="1">
      <alignment/>
      <protection/>
    </xf>
    <xf numFmtId="0" fontId="12" fillId="0" borderId="12" xfId="53" applyFont="1" applyBorder="1">
      <alignment/>
      <protection/>
    </xf>
    <xf numFmtId="0" fontId="23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10" xfId="53" applyFont="1" applyBorder="1">
      <alignment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1" fontId="25" fillId="0" borderId="0" xfId="53" applyNumberFormat="1" applyFont="1" applyBorder="1">
      <alignment/>
      <protection/>
    </xf>
    <xf numFmtId="177" fontId="25" fillId="0" borderId="0" xfId="53" applyNumberFormat="1" applyFont="1" applyBorder="1">
      <alignment/>
      <protection/>
    </xf>
    <xf numFmtId="178" fontId="15" fillId="0" borderId="46" xfId="53" applyNumberFormat="1" applyFont="1" applyBorder="1" applyAlignment="1">
      <alignment/>
      <protection/>
    </xf>
    <xf numFmtId="178" fontId="15" fillId="0" borderId="18" xfId="53" applyNumberFormat="1" applyFont="1" applyBorder="1" applyAlignment="1">
      <alignment/>
      <protection/>
    </xf>
    <xf numFmtId="178" fontId="15" fillId="0" borderId="35" xfId="53" applyNumberFormat="1" applyFont="1" applyBorder="1" applyAlignment="1">
      <alignment/>
      <protection/>
    </xf>
    <xf numFmtId="0" fontId="0" fillId="0" borderId="17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81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6" fillId="0" borderId="0" xfId="53" applyFont="1">
      <alignment/>
      <protection/>
    </xf>
    <xf numFmtId="0" fontId="9" fillId="34" borderId="30" xfId="0" applyFont="1" applyFill="1" applyBorder="1" applyAlignment="1">
      <alignment horizontal="justify" vertical="top" wrapText="1"/>
    </xf>
    <xf numFmtId="0" fontId="9" fillId="34" borderId="27" xfId="0" applyFont="1" applyFill="1" applyBorder="1" applyAlignment="1">
      <alignment horizontal="center" vertical="top" wrapText="1"/>
    </xf>
    <xf numFmtId="0" fontId="9" fillId="34" borderId="28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justify" vertical="top" wrapText="1"/>
    </xf>
    <xf numFmtId="181" fontId="0" fillId="0" borderId="31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justify" vertical="top" wrapText="1"/>
    </xf>
    <xf numFmtId="181" fontId="0" fillId="0" borderId="32" xfId="0" applyNumberFormat="1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justify" vertical="top" wrapText="1"/>
    </xf>
    <xf numFmtId="181" fontId="8" fillId="0" borderId="32" xfId="0" applyNumberFormat="1" applyFont="1" applyFill="1" applyBorder="1" applyAlignment="1">
      <alignment vertical="top" wrapText="1"/>
    </xf>
    <xf numFmtId="181" fontId="13" fillId="0" borderId="32" xfId="0" applyNumberFormat="1" applyFont="1" applyFill="1" applyBorder="1" applyAlignment="1" applyProtection="1">
      <alignment vertical="top" wrapText="1"/>
      <protection locked="0"/>
    </xf>
    <xf numFmtId="0" fontId="0" fillId="0" borderId="14" xfId="0" applyFont="1" applyFill="1" applyBorder="1" applyAlignment="1" applyProtection="1">
      <alignment horizontal="justify" vertical="top" wrapText="1"/>
      <protection locked="0"/>
    </xf>
    <xf numFmtId="181" fontId="0" fillId="0" borderId="32" xfId="0" applyNumberFormat="1" applyFont="1" applyFill="1" applyBorder="1" applyAlignment="1" applyProtection="1">
      <alignment vertical="top" wrapText="1"/>
      <protection locked="0"/>
    </xf>
    <xf numFmtId="0" fontId="8" fillId="0" borderId="47" xfId="0" applyFont="1" applyFill="1" applyBorder="1" applyAlignment="1">
      <alignment horizontal="justify" vertical="top" wrapText="1"/>
    </xf>
    <xf numFmtId="0" fontId="0" fillId="0" borderId="47" xfId="0" applyFont="1" applyFill="1" applyBorder="1" applyAlignment="1" applyProtection="1">
      <alignment horizontal="justify" vertical="top" wrapText="1"/>
      <protection locked="0"/>
    </xf>
    <xf numFmtId="181" fontId="0" fillId="0" borderId="33" xfId="0" applyNumberFormat="1" applyFont="1" applyFill="1" applyBorder="1" applyAlignment="1" applyProtection="1">
      <alignment vertical="top" wrapText="1"/>
      <protection locked="0"/>
    </xf>
    <xf numFmtId="181" fontId="0" fillId="0" borderId="28" xfId="0" applyNumberFormat="1" applyFont="1" applyFill="1" applyBorder="1" applyAlignment="1" applyProtection="1">
      <alignment vertical="top" wrapText="1"/>
      <protection locked="0"/>
    </xf>
    <xf numFmtId="0" fontId="10" fillId="34" borderId="16" xfId="0" applyFont="1" applyFill="1" applyBorder="1" applyAlignment="1">
      <alignment horizontal="justify" vertical="top" wrapText="1"/>
    </xf>
    <xf numFmtId="181" fontId="10" fillId="34" borderId="28" xfId="0" applyNumberFormat="1" applyFont="1" applyFill="1" applyBorder="1" applyAlignment="1">
      <alignment vertical="top" wrapText="1"/>
    </xf>
    <xf numFmtId="181" fontId="10" fillId="34" borderId="29" xfId="0" applyNumberFormat="1" applyFont="1" applyFill="1" applyBorder="1" applyAlignment="1">
      <alignment vertical="center"/>
    </xf>
    <xf numFmtId="181" fontId="10" fillId="34" borderId="27" xfId="0" applyNumberFormat="1" applyFont="1" applyFill="1" applyBorder="1" applyAlignment="1">
      <alignment vertical="center"/>
    </xf>
    <xf numFmtId="178" fontId="10" fillId="34" borderId="28" xfId="0" applyNumberFormat="1" applyFont="1" applyFill="1" applyBorder="1" applyAlignment="1">
      <alignment vertical="center" wrapText="1"/>
    </xf>
    <xf numFmtId="0" fontId="10" fillId="34" borderId="14" xfId="0" applyFont="1" applyFill="1" applyBorder="1" applyAlignment="1">
      <alignment horizontal="justify" vertical="top" wrapText="1"/>
    </xf>
    <xf numFmtId="181" fontId="10" fillId="34" borderId="39" xfId="0" applyNumberFormat="1" applyFont="1" applyFill="1" applyBorder="1" applyAlignment="1">
      <alignment vertical="center" wrapText="1"/>
    </xf>
    <xf numFmtId="181" fontId="10" fillId="34" borderId="40" xfId="0" applyNumberFormat="1" applyFont="1" applyFill="1" applyBorder="1" applyAlignment="1">
      <alignment vertical="center" wrapText="1"/>
    </xf>
    <xf numFmtId="181" fontId="8" fillId="34" borderId="32" xfId="0" applyNumberFormat="1" applyFont="1" applyFill="1" applyBorder="1" applyAlignment="1">
      <alignment vertical="center" wrapText="1"/>
    </xf>
    <xf numFmtId="181" fontId="10" fillId="34" borderId="29" xfId="0" applyNumberFormat="1" applyFont="1" applyFill="1" applyBorder="1" applyAlignment="1">
      <alignment vertical="center" wrapText="1"/>
    </xf>
    <xf numFmtId="181" fontId="10" fillId="34" borderId="29" xfId="0" applyNumberFormat="1" applyFont="1" applyFill="1" applyBorder="1" applyAlignment="1">
      <alignment vertical="top" wrapText="1"/>
    </xf>
    <xf numFmtId="181" fontId="10" fillId="34" borderId="27" xfId="0" applyNumberFormat="1" applyFont="1" applyFill="1" applyBorder="1" applyAlignment="1">
      <alignment vertical="top" wrapText="1"/>
    </xf>
    <xf numFmtId="178" fontId="10" fillId="34" borderId="28" xfId="0" applyNumberFormat="1" applyFont="1" applyFill="1" applyBorder="1" applyAlignment="1">
      <alignment vertical="top" wrapText="1"/>
    </xf>
    <xf numFmtId="0" fontId="10" fillId="34" borderId="13" xfId="0" applyFont="1" applyFill="1" applyBorder="1" applyAlignment="1">
      <alignment horizontal="justify" vertical="top" wrapText="1"/>
    </xf>
    <xf numFmtId="181" fontId="10" fillId="34" borderId="42" xfId="0" applyNumberFormat="1" applyFont="1" applyFill="1" applyBorder="1" applyAlignment="1">
      <alignment vertical="top" wrapText="1"/>
    </xf>
    <xf numFmtId="181" fontId="10" fillId="34" borderId="43" xfId="0" applyNumberFormat="1" applyFont="1" applyFill="1" applyBorder="1" applyAlignment="1">
      <alignment vertical="top" wrapText="1"/>
    </xf>
    <xf numFmtId="181" fontId="10" fillId="34" borderId="31" xfId="0" applyNumberFormat="1" applyFont="1" applyFill="1" applyBorder="1" applyAlignment="1">
      <alignment vertical="top" wrapText="1"/>
    </xf>
    <xf numFmtId="0" fontId="10" fillId="34" borderId="15" xfId="0" applyFont="1" applyFill="1" applyBorder="1" applyAlignment="1">
      <alignment horizontal="justify" vertical="top" wrapText="1"/>
    </xf>
    <xf numFmtId="181" fontId="10" fillId="34" borderId="48" xfId="0" applyNumberFormat="1" applyFont="1" applyFill="1" applyBorder="1" applyAlignment="1">
      <alignment vertical="top" wrapText="1"/>
    </xf>
    <xf numFmtId="181" fontId="10" fillId="34" borderId="49" xfId="0" applyNumberFormat="1" applyFont="1" applyFill="1" applyBorder="1" applyAlignment="1">
      <alignment vertical="top" wrapText="1"/>
    </xf>
    <xf numFmtId="181" fontId="10" fillId="34" borderId="50" xfId="0" applyNumberFormat="1" applyFont="1" applyFill="1" applyBorder="1" applyAlignment="1">
      <alignment vertical="top" wrapText="1"/>
    </xf>
    <xf numFmtId="0" fontId="0" fillId="0" borderId="51" xfId="0" applyFont="1" applyBorder="1" applyAlignment="1">
      <alignment horizontal="justify" vertical="top" wrapText="1"/>
    </xf>
    <xf numFmtId="181" fontId="0" fillId="0" borderId="13" xfId="0" applyNumberFormat="1" applyFont="1" applyBorder="1" applyAlignment="1">
      <alignment vertical="center" wrapText="1"/>
    </xf>
    <xf numFmtId="0" fontId="8" fillId="0" borderId="52" xfId="0" applyFont="1" applyBorder="1" applyAlignment="1">
      <alignment horizontal="justify" vertical="top" wrapText="1"/>
    </xf>
    <xf numFmtId="181" fontId="8" fillId="0" borderId="14" xfId="0" applyNumberFormat="1" applyFont="1" applyBorder="1" applyAlignment="1">
      <alignment vertical="center" wrapText="1"/>
    </xf>
    <xf numFmtId="0" fontId="0" fillId="0" borderId="52" xfId="0" applyFont="1" applyBorder="1" applyAlignment="1">
      <alignment horizontal="justify" vertical="top" wrapText="1"/>
    </xf>
    <xf numFmtId="181" fontId="0" fillId="0" borderId="14" xfId="0" applyNumberFormat="1" applyFont="1" applyBorder="1" applyAlignment="1">
      <alignment vertical="center" wrapText="1"/>
    </xf>
    <xf numFmtId="0" fontId="0" fillId="0" borderId="53" xfId="0" applyFont="1" applyBorder="1" applyAlignment="1">
      <alignment horizontal="justify" vertical="top" wrapText="1"/>
    </xf>
    <xf numFmtId="181" fontId="0" fillId="0" borderId="47" xfId="0" applyNumberFormat="1" applyFont="1" applyBorder="1" applyAlignment="1">
      <alignment vertical="center" wrapText="1"/>
    </xf>
    <xf numFmtId="0" fontId="9" fillId="34" borderId="11" xfId="0" applyFont="1" applyFill="1" applyBorder="1" applyAlignment="1">
      <alignment horizontal="justify" vertical="top" wrapText="1"/>
    </xf>
    <xf numFmtId="181" fontId="0" fillId="34" borderId="16" xfId="0" applyNumberFormat="1" applyFont="1" applyFill="1" applyBorder="1" applyAlignment="1">
      <alignment vertical="center" wrapText="1"/>
    </xf>
    <xf numFmtId="0" fontId="13" fillId="0" borderId="54" xfId="0" applyFont="1" applyBorder="1" applyAlignment="1" applyProtection="1">
      <alignment horizontal="justify" vertical="top" wrapText="1"/>
      <protection locked="0"/>
    </xf>
    <xf numFmtId="181" fontId="13" fillId="0" borderId="17" xfId="0" applyNumberFormat="1" applyFont="1" applyBorder="1" applyAlignment="1" applyProtection="1">
      <alignment vertical="center" wrapText="1"/>
      <protection locked="0"/>
    </xf>
    <xf numFmtId="0" fontId="13" fillId="0" borderId="52" xfId="0" applyFont="1" applyBorder="1" applyAlignment="1" applyProtection="1">
      <alignment horizontal="justify" vertical="top" wrapText="1"/>
      <protection locked="0"/>
    </xf>
    <xf numFmtId="181" fontId="13" fillId="0" borderId="14" xfId="0" applyNumberFormat="1" applyFont="1" applyBorder="1" applyAlignment="1" applyProtection="1">
      <alignment vertical="center" wrapText="1"/>
      <protection locked="0"/>
    </xf>
    <xf numFmtId="0" fontId="13" fillId="0" borderId="53" xfId="0" applyFont="1" applyBorder="1" applyAlignment="1" applyProtection="1">
      <alignment horizontal="justify" vertical="top" wrapText="1"/>
      <protection locked="0"/>
    </xf>
    <xf numFmtId="181" fontId="13" fillId="0" borderId="47" xfId="0" applyNumberFormat="1" applyFont="1" applyBorder="1" applyAlignment="1" applyProtection="1">
      <alignment vertical="center" wrapText="1"/>
      <protection locked="0"/>
    </xf>
    <xf numFmtId="0" fontId="9" fillId="34" borderId="52" xfId="0" applyFont="1" applyFill="1" applyBorder="1" applyAlignment="1">
      <alignment horizontal="justify" vertical="top" wrapText="1"/>
    </xf>
    <xf numFmtId="181" fontId="0" fillId="34" borderId="14" xfId="0" applyNumberFormat="1" applyFont="1" applyFill="1" applyBorder="1" applyAlignment="1">
      <alignment vertical="center" wrapText="1"/>
    </xf>
    <xf numFmtId="0" fontId="0" fillId="34" borderId="52" xfId="0" applyFont="1" applyFill="1" applyBorder="1" applyAlignment="1">
      <alignment horizontal="justify" vertical="top" wrapText="1"/>
    </xf>
    <xf numFmtId="0" fontId="0" fillId="34" borderId="55" xfId="0" applyFont="1" applyFill="1" applyBorder="1" applyAlignment="1">
      <alignment horizontal="justify" vertical="top" wrapText="1"/>
    </xf>
    <xf numFmtId="181" fontId="0" fillId="34" borderId="15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27" fillId="0" borderId="17" xfId="0" applyFont="1" applyBorder="1" applyAlignment="1" applyProtection="1">
      <alignment horizontal="justify" vertical="top" wrapText="1"/>
      <protection locked="0"/>
    </xf>
    <xf numFmtId="178" fontId="27" fillId="0" borderId="36" xfId="0" applyNumberFormat="1" applyFont="1" applyBorder="1" applyAlignment="1" applyProtection="1">
      <alignment vertical="center" wrapText="1"/>
      <protection locked="0"/>
    </xf>
    <xf numFmtId="181" fontId="8" fillId="0" borderId="38" xfId="0" applyNumberFormat="1" applyFont="1" applyBorder="1" applyAlignment="1">
      <alignment vertical="center" wrapText="1"/>
    </xf>
    <xf numFmtId="0" fontId="27" fillId="0" borderId="14" xfId="0" applyFont="1" applyBorder="1" applyAlignment="1" applyProtection="1">
      <alignment horizontal="justify" vertical="top" wrapText="1"/>
      <protection locked="0"/>
    </xf>
    <xf numFmtId="178" fontId="27" fillId="0" borderId="39" xfId="0" applyNumberFormat="1" applyFont="1" applyBorder="1" applyAlignment="1" applyProtection="1">
      <alignment vertical="center" wrapText="1"/>
      <protection locked="0"/>
    </xf>
    <xf numFmtId="181" fontId="8" fillId="0" borderId="32" xfId="0" applyNumberFormat="1" applyFont="1" applyBorder="1" applyAlignment="1">
      <alignment vertical="center" wrapText="1"/>
    </xf>
    <xf numFmtId="0" fontId="27" fillId="0" borderId="47" xfId="0" applyFont="1" applyBorder="1" applyAlignment="1" applyProtection="1">
      <alignment horizontal="justify" vertical="top" wrapText="1"/>
      <protection locked="0"/>
    </xf>
    <xf numFmtId="178" fontId="27" fillId="0" borderId="56" xfId="0" applyNumberFormat="1" applyFont="1" applyBorder="1" applyAlignment="1" applyProtection="1">
      <alignment vertical="center" wrapText="1"/>
      <protection locked="0"/>
    </xf>
    <xf numFmtId="181" fontId="8" fillId="0" borderId="33" xfId="0" applyNumberFormat="1" applyFont="1" applyBorder="1" applyAlignment="1">
      <alignment vertical="center" wrapText="1"/>
    </xf>
    <xf numFmtId="178" fontId="27" fillId="0" borderId="37" xfId="0" applyNumberFormat="1" applyFont="1" applyBorder="1" applyAlignment="1" applyProtection="1">
      <alignment vertical="center" wrapText="1"/>
      <protection locked="0"/>
    </xf>
    <xf numFmtId="178" fontId="27" fillId="0" borderId="40" xfId="0" applyNumberFormat="1" applyFont="1" applyBorder="1" applyAlignment="1" applyProtection="1">
      <alignment vertical="center" wrapText="1"/>
      <protection locked="0"/>
    </xf>
    <xf numFmtId="178" fontId="27" fillId="0" borderId="57" xfId="0" applyNumberFormat="1" applyFont="1" applyBorder="1" applyAlignment="1" applyProtection="1">
      <alignment vertical="center" wrapText="1"/>
      <protection locked="0"/>
    </xf>
    <xf numFmtId="0" fontId="27" fillId="0" borderId="13" xfId="0" applyFont="1" applyBorder="1" applyAlignment="1" applyProtection="1">
      <alignment horizontal="justify" vertical="top" wrapText="1"/>
      <protection locked="0"/>
    </xf>
    <xf numFmtId="178" fontId="27" fillId="0" borderId="42" xfId="0" applyNumberFormat="1" applyFont="1" applyBorder="1" applyAlignment="1" applyProtection="1">
      <alignment vertical="top" wrapText="1"/>
      <protection locked="0"/>
    </xf>
    <xf numFmtId="178" fontId="27" fillId="0" borderId="43" xfId="0" applyNumberFormat="1" applyFont="1" applyBorder="1" applyAlignment="1" applyProtection="1">
      <alignment vertical="top" wrapText="1"/>
      <protection locked="0"/>
    </xf>
    <xf numFmtId="181" fontId="8" fillId="0" borderId="31" xfId="0" applyNumberFormat="1" applyFont="1" applyBorder="1" applyAlignment="1">
      <alignment vertical="top" wrapText="1"/>
    </xf>
    <xf numFmtId="178" fontId="27" fillId="0" borderId="39" xfId="0" applyNumberFormat="1" applyFont="1" applyBorder="1" applyAlignment="1" applyProtection="1">
      <alignment vertical="top" wrapText="1"/>
      <protection locked="0"/>
    </xf>
    <xf numFmtId="178" fontId="27" fillId="0" borderId="40" xfId="0" applyNumberFormat="1" applyFont="1" applyBorder="1" applyAlignment="1" applyProtection="1">
      <alignment vertical="top" wrapText="1"/>
      <protection locked="0"/>
    </xf>
    <xf numFmtId="181" fontId="8" fillId="0" borderId="32" xfId="0" applyNumberFormat="1" applyFont="1" applyBorder="1" applyAlignment="1">
      <alignment vertical="top" wrapText="1"/>
    </xf>
    <xf numFmtId="178" fontId="27" fillId="0" borderId="56" xfId="0" applyNumberFormat="1" applyFont="1" applyBorder="1" applyAlignment="1" applyProtection="1">
      <alignment vertical="top" wrapText="1"/>
      <protection locked="0"/>
    </xf>
    <xf numFmtId="178" fontId="27" fillId="0" borderId="57" xfId="0" applyNumberFormat="1" applyFont="1" applyBorder="1" applyAlignment="1" applyProtection="1">
      <alignment vertical="top" wrapText="1"/>
      <protection locked="0"/>
    </xf>
    <xf numFmtId="181" fontId="8" fillId="0" borderId="33" xfId="0" applyNumberFormat="1" applyFont="1" applyBorder="1" applyAlignment="1">
      <alignment vertical="top" wrapText="1"/>
    </xf>
    <xf numFmtId="178" fontId="8" fillId="34" borderId="28" xfId="0" applyNumberFormat="1" applyFont="1" applyFill="1" applyBorder="1" applyAlignment="1">
      <alignment vertical="top" wrapText="1"/>
    </xf>
    <xf numFmtId="178" fontId="27" fillId="0" borderId="36" xfId="0" applyNumberFormat="1" applyFont="1" applyBorder="1" applyAlignment="1" applyProtection="1">
      <alignment vertical="top" wrapText="1"/>
      <protection locked="0"/>
    </xf>
    <xf numFmtId="178" fontId="27" fillId="0" borderId="37" xfId="0" applyNumberFormat="1" applyFont="1" applyBorder="1" applyAlignment="1" applyProtection="1">
      <alignment vertical="top" wrapText="1"/>
      <protection locked="0"/>
    </xf>
    <xf numFmtId="181" fontId="8" fillId="0" borderId="38" xfId="0" applyNumberFormat="1" applyFont="1" applyBorder="1" applyAlignment="1">
      <alignment vertical="top" wrapText="1"/>
    </xf>
    <xf numFmtId="181" fontId="27" fillId="0" borderId="36" xfId="0" applyNumberFormat="1" applyFont="1" applyBorder="1" applyAlignment="1" applyProtection="1">
      <alignment vertical="top" wrapText="1"/>
      <protection locked="0"/>
    </xf>
    <xf numFmtId="181" fontId="27" fillId="0" borderId="37" xfId="0" applyNumberFormat="1" applyFont="1" applyBorder="1" applyAlignment="1" applyProtection="1">
      <alignment vertical="top" wrapText="1"/>
      <protection locked="0"/>
    </xf>
    <xf numFmtId="0" fontId="9" fillId="36" borderId="30" xfId="0" applyFont="1" applyFill="1" applyBorder="1" applyAlignment="1">
      <alignment horizontal="center" vertical="center"/>
    </xf>
    <xf numFmtId="0" fontId="9" fillId="36" borderId="58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3" fontId="14" fillId="0" borderId="46" xfId="53" applyNumberFormat="1" applyBorder="1" applyAlignment="1">
      <alignment horizontal="right"/>
      <protection/>
    </xf>
    <xf numFmtId="177" fontId="14" fillId="0" borderId="35" xfId="53" applyNumberFormat="1" applyBorder="1" applyAlignment="1">
      <alignment horizontal="right"/>
      <protection/>
    </xf>
    <xf numFmtId="0" fontId="21" fillId="0" borderId="18" xfId="0" applyFont="1" applyFill="1" applyBorder="1" applyAlignment="1" applyProtection="1">
      <alignment horizontal="justify" vertical="top" wrapText="1"/>
      <protection locked="0"/>
    </xf>
    <xf numFmtId="181" fontId="21" fillId="0" borderId="0" xfId="0" applyNumberFormat="1" applyFont="1" applyFill="1" applyBorder="1" applyAlignment="1" applyProtection="1">
      <alignment vertical="center" wrapText="1"/>
      <protection locked="0"/>
    </xf>
    <xf numFmtId="3" fontId="21" fillId="0" borderId="5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47" xfId="0" applyFont="1" applyBorder="1" applyAlignment="1" applyProtection="1">
      <alignment/>
      <protection locked="0"/>
    </xf>
    <xf numFmtId="181" fontId="22" fillId="0" borderId="47" xfId="0" applyNumberFormat="1" applyFont="1" applyBorder="1" applyAlignment="1" applyProtection="1">
      <alignment/>
      <protection locked="0"/>
    </xf>
    <xf numFmtId="0" fontId="11" fillId="34" borderId="46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0" xfId="0" applyAlignment="1">
      <alignment/>
    </xf>
    <xf numFmtId="0" fontId="0" fillId="34" borderId="44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1" fontId="21" fillId="0" borderId="11" xfId="0" applyNumberFormat="1" applyFont="1" applyBorder="1" applyAlignment="1" applyProtection="1">
      <alignment horizontal="center"/>
      <protection locked="0"/>
    </xf>
    <xf numFmtId="1" fontId="21" fillId="0" borderId="62" xfId="0" applyNumberFormat="1" applyFont="1" applyBorder="1" applyAlignment="1" applyProtection="1">
      <alignment horizontal="center"/>
      <protection locked="0"/>
    </xf>
    <xf numFmtId="1" fontId="21" fillId="0" borderId="34" xfId="0" applyNumberFormat="1" applyFont="1" applyBorder="1" applyAlignment="1" applyProtection="1">
      <alignment horizontal="center"/>
      <protection locked="0"/>
    </xf>
    <xf numFmtId="0" fontId="12" fillId="36" borderId="11" xfId="0" applyFont="1" applyFill="1" applyBorder="1" applyAlignment="1">
      <alignment horizontal="center"/>
    </xf>
    <xf numFmtId="0" fontId="12" fillId="36" borderId="34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/>
    </xf>
    <xf numFmtId="0" fontId="11" fillId="36" borderId="34" xfId="0" applyFont="1" applyFill="1" applyBorder="1" applyAlignment="1">
      <alignment horizontal="center"/>
    </xf>
    <xf numFmtId="0" fontId="20" fillId="0" borderId="0" xfId="42" applyFont="1" applyFill="1" applyBorder="1" applyAlignment="1" applyProtection="1">
      <alignment horizontal="center" vertical="center" wrapText="1"/>
      <protection/>
    </xf>
    <xf numFmtId="0" fontId="11" fillId="36" borderId="11" xfId="0" applyFont="1" applyFill="1" applyBorder="1" applyAlignment="1">
      <alignment horizontal="center" vertical="center"/>
    </xf>
    <xf numFmtId="0" fontId="11" fillId="36" borderId="62" xfId="0" applyFont="1" applyFill="1" applyBorder="1" applyAlignment="1">
      <alignment horizontal="center" vertical="center"/>
    </xf>
    <xf numFmtId="0" fontId="11" fillId="36" borderId="34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3" fillId="36" borderId="62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44" fontId="20" fillId="0" borderId="0" xfId="42" applyNumberFormat="1" applyFont="1" applyFill="1" applyBorder="1" applyAlignment="1" applyProtection="1">
      <alignment horizontal="center" vertical="center" wrapText="1"/>
      <protection/>
    </xf>
    <xf numFmtId="0" fontId="11" fillId="36" borderId="62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10" fillId="36" borderId="11" xfId="0" applyFont="1" applyFill="1" applyBorder="1" applyAlignment="1">
      <alignment horizontal="center" vertical="top" wrapText="1"/>
    </xf>
    <xf numFmtId="0" fontId="10" fillId="36" borderId="62" xfId="0" applyFont="1" applyFill="1" applyBorder="1" applyAlignment="1">
      <alignment horizontal="center" vertical="top" wrapText="1"/>
    </xf>
    <xf numFmtId="0" fontId="10" fillId="36" borderId="34" xfId="0" applyFont="1" applyFill="1" applyBorder="1" applyAlignment="1">
      <alignment horizontal="center" vertical="top" wrapText="1"/>
    </xf>
    <xf numFmtId="0" fontId="10" fillId="36" borderId="44" xfId="0" applyFont="1" applyFill="1" applyBorder="1" applyAlignment="1">
      <alignment horizontal="center" vertical="top" wrapText="1"/>
    </xf>
    <xf numFmtId="0" fontId="10" fillId="36" borderId="60" xfId="0" applyFont="1" applyFill="1" applyBorder="1" applyAlignment="1">
      <alignment horizontal="center" vertical="top" wrapText="1"/>
    </xf>
    <xf numFmtId="0" fontId="10" fillId="36" borderId="45" xfId="0" applyFont="1" applyFill="1" applyBorder="1" applyAlignment="1">
      <alignment horizontal="center" vertical="top" wrapText="1"/>
    </xf>
    <xf numFmtId="0" fontId="9" fillId="36" borderId="11" xfId="0" applyFont="1" applyFill="1" applyBorder="1" applyAlignment="1">
      <alignment horizontal="center" vertical="top" wrapText="1"/>
    </xf>
    <xf numFmtId="0" fontId="9" fillId="36" borderId="62" xfId="0" applyFont="1" applyFill="1" applyBorder="1" applyAlignment="1">
      <alignment horizontal="center" vertical="top" wrapText="1"/>
    </xf>
    <xf numFmtId="0" fontId="9" fillId="36" borderId="34" xfId="0" applyFont="1" applyFill="1" applyBorder="1" applyAlignment="1">
      <alignment horizontal="center" vertical="top" wrapText="1"/>
    </xf>
    <xf numFmtId="0" fontId="5" fillId="36" borderId="44" xfId="0" applyFont="1" applyFill="1" applyBorder="1" applyAlignment="1">
      <alignment horizontal="center" vertical="top" wrapText="1"/>
    </xf>
    <xf numFmtId="0" fontId="5" fillId="36" borderId="45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5" fillId="36" borderId="34" xfId="0" applyFont="1" applyFill="1" applyBorder="1" applyAlignment="1">
      <alignment horizontal="center" vertical="top" wrapText="1"/>
    </xf>
    <xf numFmtId="0" fontId="24" fillId="0" borderId="0" xfId="53" applyFont="1" applyBorder="1" applyAlignment="1">
      <alignment horizontal="center"/>
      <protection/>
    </xf>
    <xf numFmtId="0" fontId="20" fillId="0" borderId="0" xfId="42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excel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Анализ безубыточности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8"/>
          <c:w val="0.964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'Анализ безубыточности'!$EW$118</c:f>
              <c:strCache>
                <c:ptCount val="1"/>
                <c:pt idx="0">
                  <c:v>Суммарные издержки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'Анализ безубыточности'!$EU$119:$EU$123</c:f>
              <c:numCache/>
            </c:numRef>
          </c:cat>
          <c:val>
            <c:numRef>
              <c:f>'Анализ безубыточности'!$EW$119:$EW$123</c:f>
              <c:numCache/>
            </c:numRef>
          </c:val>
          <c:smooth val="0"/>
        </c:ser>
        <c:ser>
          <c:idx val="1"/>
          <c:order val="1"/>
          <c:tx>
            <c:strRef>
              <c:f>'Анализ безубыточности'!$EX$118</c:f>
              <c:strCache>
                <c:ptCount val="1"/>
                <c:pt idx="0">
                  <c:v>Объем продаж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'Анализ безубыточности'!$EU$119:$EU$123</c:f>
              <c:numCache/>
            </c:numRef>
          </c:cat>
          <c:val>
            <c:numRef>
              <c:f>'Анализ безубыточности'!$EX$119:$EX$123</c:f>
              <c:numCache/>
            </c:numRef>
          </c:val>
          <c:smooth val="0"/>
        </c:ser>
        <c:marker val="1"/>
        <c:axId val="64440766"/>
        <c:axId val="43095983"/>
      </c:lineChart>
      <c:catAx>
        <c:axId val="644407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5983"/>
        <c:crossesAt val="2"/>
        <c:auto val="1"/>
        <c:lblOffset val="100"/>
        <c:tickLblSkip val="1"/>
        <c:noMultiLvlLbl val="0"/>
      </c:catAx>
      <c:valAx>
        <c:axId val="43095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407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35"/>
          <c:y val="0.904"/>
          <c:w val="0.531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11</xdr:row>
      <xdr:rowOff>76200</xdr:rowOff>
    </xdr:from>
    <xdr:to>
      <xdr:col>4</xdr:col>
      <xdr:colOff>314325</xdr:colOff>
      <xdr:row>28</xdr:row>
      <xdr:rowOff>85725</xdr:rowOff>
    </xdr:to>
    <xdr:graphicFrame>
      <xdr:nvGraphicFramePr>
        <xdr:cNvPr id="1" name="Chart 2"/>
        <xdr:cNvGraphicFramePr/>
      </xdr:nvGraphicFramePr>
      <xdr:xfrm>
        <a:off x="1076325" y="2076450"/>
        <a:ext cx="54483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CCC~1\LOCALS~1\Temp\Rar$DI00.531\&#1055;&#1088;&#1080;&#1084;&#1077;&#1088;&#1099;%20&#1073;&#1080;&#1079;&#1085;&#1077;&#1089;-&#1087;&#1083;&#1072;&#1085;&#1086;&#1074;\&#1043;&#1086;&#1090;&#1086;&#1074;&#1099;&#1077;%20&#1091;&#1095;&#1077;&#1073;&#1085;&#1099;&#1077;%20&#1073;&#1080;&#1079;&#1085;&#1077;&#1089;-&#1087;&#1083;&#1072;&#1085;&#1099;\&#1058;&#1091;&#1088;&#1080;&#1089;&#1090;&#1080;&#1095;&#1077;&#1089;&#1082;&#1086;&#1077;%20&#1072;&#1075;&#1077;&#1085;&#1090;&#1089;&#1090;&#1074;&#1086;\&#1058;&#1091;&#1088;&#1080;&#1089;&#1090;&#1080;&#1095;&#1077;&#1089;&#1082;&#1086;&#1077;%20&#1072;&#1075;&#1077;&#1085;&#1090;&#1089;&#1090;&#1074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ton\!Market%20Plan\javanet\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План создания"/>
      <sheetName val="Анализ  рынка "/>
      <sheetName val="Прогноз продаж"/>
      <sheetName val="Основные предположения"/>
      <sheetName val="Штатное расписание"/>
      <sheetName val="Анализ безубыточности"/>
      <sheetName val="План прибылей и убытков "/>
      <sheetName val="План движения денежных средств"/>
      <sheetName val="Плановый баланс"/>
    </sheetNames>
    <sheetDataSet>
      <sheetData sheetId="9">
        <row r="4">
          <cell r="B4">
            <v>1600000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Рост целевого рынка"/>
      <sheetName val="Д_Целевые рынки"/>
      <sheetName val="Д_Рост целевого рынка"/>
      <sheetName val="Д_Прогноз рынка"/>
      <sheetName val="Анализ целевого рынка"/>
      <sheetName val="Контрольные отметки"/>
      <sheetName val="Д_Контрольные отметки"/>
      <sheetName val="Маржа валовой прибыли"/>
      <sheetName val="Д_Смета месячных расходов"/>
      <sheetName val="Д_Расходов по годам"/>
      <sheetName val="Д_Маржа прибыли по месяцам"/>
      <sheetName val="Д_Маржа прыбили по годам"/>
      <sheetName val="Д_Смета дох&amp;расх по месяцам"/>
      <sheetName val="Д_Смета дох&amp;расх по годам"/>
      <sheetName val="Прогноз продаж"/>
      <sheetName val="ДН_Прогноз месячных продаж"/>
      <sheetName val="ДН_Прогноз продаж по годам"/>
      <sheetName val="Анализ темпов роста"/>
      <sheetName val="Д_Конкуренты по цене"/>
      <sheetName val="Д_Конкуренты по доле рынка"/>
      <sheetName val="Д_Конкуренты по темпам роста"/>
      <sheetName val="Д_Доля рынка и темпы роста"/>
      <sheetName val="Прогноз развития"/>
      <sheetName val="Д_Прогноз развития "/>
      <sheetName val="Анализ каналов распространения"/>
      <sheetName val="Архивные данные"/>
      <sheetName val="Продажи 1"/>
      <sheetName val="Д_продаж за месяц"/>
      <sheetName val="Д_продаж за год"/>
      <sheetName val="Продажи 2"/>
      <sheetName val="Д_продаж за месяц 2"/>
      <sheetName val="Д_продаж за год 2"/>
      <sheetName val="Продажи 3"/>
      <sheetName val="Д_продаж за месяц 3"/>
      <sheetName val="Д_продаж за год 3"/>
      <sheetName val="Затраты 1"/>
      <sheetName val="Д_затраты за месяц"/>
      <sheetName val="Д_затраты за год"/>
      <sheetName val="Затраты 2"/>
      <sheetName val="Д_затраты за месяц 2"/>
      <sheetName val="Д_затраты за год 2"/>
      <sheetName val="Затраты 3"/>
      <sheetName val="Д_затраты за месяц 3"/>
      <sheetName val="Д_затраты за год 3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82.00390625" style="0" customWidth="1"/>
    <col min="3" max="3" width="11.8515625" style="0" customWidth="1"/>
    <col min="4" max="6" width="6.8515625" style="0" customWidth="1"/>
  </cols>
  <sheetData>
    <row r="1" ht="13.5" thickBot="1"/>
    <row r="2" ht="21" thickBot="1">
      <c r="B2" s="89" t="s">
        <v>94</v>
      </c>
    </row>
    <row r="4" ht="13.5" thickBot="1"/>
    <row r="5" ht="20.25">
      <c r="B5" s="246" t="s">
        <v>96</v>
      </c>
    </row>
    <row r="6" s="141" customFormat="1" ht="18.75" thickBot="1">
      <c r="B6" s="247" t="s">
        <v>102</v>
      </c>
    </row>
    <row r="7" spans="2:6" ht="12.75">
      <c r="B7" s="247" t="s">
        <v>97</v>
      </c>
      <c r="D7" s="249" t="s">
        <v>134</v>
      </c>
      <c r="E7" s="250"/>
      <c r="F7" s="251"/>
    </row>
    <row r="8" spans="2:6" ht="13.5" thickBot="1">
      <c r="B8" s="247" t="s">
        <v>56</v>
      </c>
      <c r="D8" s="252"/>
      <c r="E8" s="253"/>
      <c r="F8" s="254"/>
    </row>
    <row r="9" spans="2:6" ht="13.5" thickBot="1">
      <c r="B9" s="247" t="s">
        <v>55</v>
      </c>
      <c r="D9" s="255">
        <v>2007</v>
      </c>
      <c r="E9" s="256"/>
      <c r="F9" s="257"/>
    </row>
    <row r="10" s="141" customFormat="1" ht="18">
      <c r="B10" s="247" t="s">
        <v>58</v>
      </c>
    </row>
    <row r="11" s="141" customFormat="1" ht="18">
      <c r="B11" s="247" t="s">
        <v>62</v>
      </c>
    </row>
    <row r="12" s="141" customFormat="1" ht="18">
      <c r="B12" s="247" t="s">
        <v>9</v>
      </c>
    </row>
    <row r="13" s="141" customFormat="1" ht="18">
      <c r="B13" s="247" t="s">
        <v>63</v>
      </c>
    </row>
    <row r="14" s="141" customFormat="1" ht="18">
      <c r="B14" s="247" t="s">
        <v>67</v>
      </c>
    </row>
    <row r="15" s="141" customFormat="1" ht="18">
      <c r="B15" s="247" t="s">
        <v>99</v>
      </c>
    </row>
    <row r="16" ht="18">
      <c r="B16" s="21"/>
    </row>
    <row r="17" ht="12.75">
      <c r="B17" s="248"/>
    </row>
    <row r="18" ht="12.75">
      <c r="B18" s="248"/>
    </row>
    <row r="20" ht="12.75">
      <c r="B20" s="7" t="s">
        <v>115</v>
      </c>
    </row>
    <row r="21" ht="12.75">
      <c r="B21" s="9" t="s">
        <v>95</v>
      </c>
    </row>
    <row r="22" ht="12.75">
      <c r="B22" t="s">
        <v>116</v>
      </c>
    </row>
  </sheetData>
  <sheetProtection/>
  <mergeCells count="3">
    <mergeCell ref="B17:B18"/>
    <mergeCell ref="D7:F8"/>
    <mergeCell ref="D9:F9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X123"/>
  <sheetViews>
    <sheetView showGridLines="0" zoomScalePageLayoutView="0" workbookViewId="0" topLeftCell="A1">
      <selection activeCell="A12" sqref="A12"/>
    </sheetView>
  </sheetViews>
  <sheetFormatPr defaultColWidth="9.140625" defaultRowHeight="12.75"/>
  <cols>
    <col min="1" max="1" width="29.421875" style="125" customWidth="1"/>
    <col min="2" max="2" width="43.8515625" style="125" customWidth="1"/>
    <col min="3" max="3" width="10.7109375" style="125" bestFit="1" customWidth="1"/>
    <col min="4" max="14" width="9.140625" style="125" customWidth="1"/>
    <col min="15" max="15" width="9.421875" style="125" customWidth="1"/>
    <col min="16" max="17" width="9.140625" style="125" customWidth="1"/>
    <col min="18" max="18" width="11.421875" style="125" customWidth="1"/>
    <col min="19" max="150" width="9.140625" style="125" customWidth="1"/>
    <col min="151" max="151" width="13.421875" style="125" customWidth="1"/>
    <col min="152" max="152" width="14.8515625" style="125" customWidth="1"/>
    <col min="153" max="153" width="13.421875" style="125" customWidth="1"/>
    <col min="154" max="16384" width="9.140625" style="125" customWidth="1"/>
  </cols>
  <sheetData>
    <row r="1" ht="13.5" thickBot="1"/>
    <row r="2" spans="2:3" ht="21" thickBot="1">
      <c r="B2" s="289" t="s">
        <v>67</v>
      </c>
      <c r="C2" s="290"/>
    </row>
    <row r="3" spans="2:4" ht="12.75">
      <c r="B3" s="126" t="s">
        <v>104</v>
      </c>
      <c r="C3" s="239">
        <f>CEILING(IF(Price_per_unit-Variable_cost_per_unit&lt;&gt;0,Fixed_cost/(Price_per_unit-Variable_cost_per_unit)),1)</f>
        <v>4000</v>
      </c>
      <c r="D3" s="127"/>
    </row>
    <row r="4" spans="2:4" ht="13.5" thickBot="1">
      <c r="B4" s="128" t="s">
        <v>105</v>
      </c>
      <c r="C4" s="240">
        <f>CEILING(IF(1-(Variable_cost_per_unit/Price_per_unit)&lt;&gt;0,Fixed_cost/(1-(Variable_cost_per_unit/Price_per_unit))),1)</f>
        <v>160000</v>
      </c>
      <c r="D4" s="129"/>
    </row>
    <row r="5" ht="13.5" thickBot="1">
      <c r="B5" s="130"/>
    </row>
    <row r="6" spans="2:3" ht="13.5" thickBot="1">
      <c r="B6" s="123" t="s">
        <v>135</v>
      </c>
      <c r="C6" s="124"/>
    </row>
    <row r="7" spans="2:3" ht="12.75">
      <c r="B7" s="126" t="s">
        <v>68</v>
      </c>
      <c r="C7" s="135">
        <v>40</v>
      </c>
    </row>
    <row r="8" spans="2:3" ht="12.75">
      <c r="B8" s="131" t="s">
        <v>141</v>
      </c>
      <c r="C8" s="136">
        <v>30</v>
      </c>
    </row>
    <row r="9" spans="2:3" ht="13.5" thickBot="1">
      <c r="B9" s="128" t="s">
        <v>103</v>
      </c>
      <c r="C9" s="137">
        <v>40000</v>
      </c>
    </row>
    <row r="11" spans="2:3" s="144" customFormat="1" ht="18">
      <c r="B11" s="288"/>
      <c r="C11" s="288"/>
    </row>
    <row r="117" spans="151:154" ht="12.75">
      <c r="EU117" s="287" t="s">
        <v>136</v>
      </c>
      <c r="EV117" s="287"/>
      <c r="EW117" s="287"/>
      <c r="EX117" s="287"/>
    </row>
    <row r="118" spans="151:154" ht="28.5" customHeight="1">
      <c r="EU118" s="132" t="s">
        <v>137</v>
      </c>
      <c r="EV118" s="132" t="s">
        <v>138</v>
      </c>
      <c r="EW118" s="132" t="s">
        <v>139</v>
      </c>
      <c r="EX118" s="132" t="s">
        <v>140</v>
      </c>
    </row>
    <row r="119" spans="151:154" ht="12.75">
      <c r="EU119" s="133">
        <v>0</v>
      </c>
      <c r="EV119" s="134">
        <f>EU119*$C$8</f>
        <v>0</v>
      </c>
      <c r="EW119" s="134">
        <f>EU119*$C$8+$C$9</f>
        <v>40000</v>
      </c>
      <c r="EX119" s="134">
        <f>EU119*$C$7</f>
        <v>0</v>
      </c>
    </row>
    <row r="120" spans="151:154" ht="12.75">
      <c r="EU120" s="133">
        <f>$C$3/2</f>
        <v>2000</v>
      </c>
      <c r="EV120" s="134">
        <f>EU120*$C$8</f>
        <v>60000</v>
      </c>
      <c r="EW120" s="134">
        <f>EU120*$C$8+$C$9</f>
        <v>100000</v>
      </c>
      <c r="EX120" s="134">
        <f>EU120*$C$7</f>
        <v>80000</v>
      </c>
    </row>
    <row r="121" spans="151:154" ht="12.75">
      <c r="EU121" s="133">
        <f>$C$3</f>
        <v>4000</v>
      </c>
      <c r="EV121" s="134">
        <f>EU121*$C$8</f>
        <v>120000</v>
      </c>
      <c r="EW121" s="134">
        <f>EU121*$C$8+$C$9</f>
        <v>160000</v>
      </c>
      <c r="EX121" s="134">
        <f>EU121*$C$7</f>
        <v>160000</v>
      </c>
    </row>
    <row r="122" spans="151:154" ht="12.75">
      <c r="EU122" s="133">
        <f>$C$3*3/2</f>
        <v>6000</v>
      </c>
      <c r="EV122" s="134">
        <f>EU122*$C$8</f>
        <v>180000</v>
      </c>
      <c r="EW122" s="134">
        <f>EU122*$C$8+$C$9</f>
        <v>220000</v>
      </c>
      <c r="EX122" s="134">
        <f>EU122*$C$7</f>
        <v>240000</v>
      </c>
    </row>
    <row r="123" spans="151:154" ht="12.75">
      <c r="EU123" s="133">
        <f>2*$C$3</f>
        <v>8000</v>
      </c>
      <c r="EV123" s="134">
        <f>EU123*$C$8</f>
        <v>240000</v>
      </c>
      <c r="EW123" s="134">
        <f>EU123*$C$8+$C$9</f>
        <v>280000</v>
      </c>
      <c r="EX123" s="134">
        <f>EU123*$C$7</f>
        <v>320000</v>
      </c>
    </row>
  </sheetData>
  <sheetProtection/>
  <mergeCells count="3">
    <mergeCell ref="EU117:EX117"/>
    <mergeCell ref="B11:C11"/>
    <mergeCell ref="B2:C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D1" sqref="D1"/>
    </sheetView>
  </sheetViews>
  <sheetFormatPr defaultColWidth="9.140625" defaultRowHeight="12.75"/>
  <cols>
    <col min="2" max="2" width="29.28125" style="0" customWidth="1"/>
    <col min="3" max="3" width="58.140625" style="0" customWidth="1"/>
    <col min="4" max="4" width="10.57421875" style="0" customWidth="1"/>
  </cols>
  <sheetData>
    <row r="1" ht="13.5" thickBot="1"/>
    <row r="2" spans="2:4" s="6" customFormat="1" ht="27" customHeight="1" thickBot="1">
      <c r="B2" s="236" t="s">
        <v>80</v>
      </c>
      <c r="C2" s="237" t="s">
        <v>81</v>
      </c>
      <c r="D2" s="238" t="s">
        <v>82</v>
      </c>
    </row>
    <row r="3" spans="2:4" s="18" customFormat="1" ht="27" customHeight="1">
      <c r="B3" s="47" t="s">
        <v>70</v>
      </c>
      <c r="C3" s="48" t="s">
        <v>83</v>
      </c>
      <c r="D3" s="87">
        <f>IF('Плановый баланс'!E31&lt;&gt;0,'План прибылей и убытков'!E16/'Плановый баланс'!E31,0)</f>
        <v>1.0683823529411764</v>
      </c>
    </row>
    <row r="4" spans="2:4" s="18" customFormat="1" ht="27" customHeight="1">
      <c r="B4" s="41" t="s">
        <v>71</v>
      </c>
      <c r="C4" s="44" t="s">
        <v>84</v>
      </c>
      <c r="D4" s="49">
        <f>IF('План прибылей и убытков'!E4&lt;&gt;0,'План прибылей и убытков'!E16/'План прибылей и убытков'!E4,0)</f>
        <v>0.3927027027027027</v>
      </c>
    </row>
    <row r="5" spans="2:4" ht="27" customHeight="1">
      <c r="B5" s="42" t="s">
        <v>85</v>
      </c>
      <c r="C5" s="44" t="s">
        <v>86</v>
      </c>
      <c r="D5" s="49">
        <f>IF('Плановый баланс'!E17&lt;&gt;0,'План прибылей и убытков'!E16/'Плановый баланс'!E17,0)</f>
        <v>0.4908783783783784</v>
      </c>
    </row>
    <row r="6" spans="2:4" s="18" customFormat="1" ht="27" customHeight="1">
      <c r="B6" s="41" t="s">
        <v>69</v>
      </c>
      <c r="C6" s="44" t="s">
        <v>79</v>
      </c>
      <c r="D6" s="49">
        <f>IF('План прибылей и убытков'!E4&lt;&gt;0,'План прибылей и убытков'!E6/'План прибылей и убытков'!E4,0)</f>
        <v>0.8864864864864865</v>
      </c>
    </row>
    <row r="7" spans="2:4" s="18" customFormat="1" ht="27" customHeight="1">
      <c r="B7" s="41" t="s">
        <v>73</v>
      </c>
      <c r="C7" s="44" t="s">
        <v>87</v>
      </c>
      <c r="D7" s="86">
        <f>IF('Плановый баланс'!E9&lt;&gt;0,Себестоимость_2008/'Плановый баланс'!E9,0)</f>
        <v>0.7894736842105263</v>
      </c>
    </row>
    <row r="8" spans="2:4" s="18" customFormat="1" ht="27" customHeight="1">
      <c r="B8" s="41" t="s">
        <v>72</v>
      </c>
      <c r="C8" s="45" t="s">
        <v>127</v>
      </c>
      <c r="D8" s="86">
        <f>IF('План прибылей и убытков'!E4&lt;&gt;0,'Плановый баланс'!E8/'План прибылей и убытков'!E4*365,0)</f>
        <v>19.72972972972973</v>
      </c>
    </row>
    <row r="9" spans="2:4" s="18" customFormat="1" ht="27" customHeight="1">
      <c r="B9" s="41" t="s">
        <v>75</v>
      </c>
      <c r="C9" s="45" t="s">
        <v>128</v>
      </c>
      <c r="D9" s="86">
        <f>IF(Себестоимость&lt;&gt;0,('Плановый баланс'!E21/Себестоимость)*365,0)</f>
        <v>330.23809523809524</v>
      </c>
    </row>
    <row r="10" spans="2:4" ht="27" customHeight="1">
      <c r="B10" s="41" t="s">
        <v>74</v>
      </c>
      <c r="C10" s="44" t="s">
        <v>88</v>
      </c>
      <c r="D10" s="86">
        <f>IF('Плановый баланс'!E14&lt;&gt;0,'План прибылей и убытков'!E4/'Плановый баланс'!E14,0)</f>
        <v>16.818181818181817</v>
      </c>
    </row>
    <row r="11" spans="2:4" s="18" customFormat="1" ht="27" customHeight="1">
      <c r="B11" s="41" t="s">
        <v>76</v>
      </c>
      <c r="C11" s="44" t="s">
        <v>89</v>
      </c>
      <c r="D11" s="49">
        <f>IF('Плановый баланс'!E17&lt;&gt;0,'Плановый баланс'!E28/'Плановый баланс'!E17,0)</f>
        <v>0.20270270270270271</v>
      </c>
    </row>
    <row r="12" spans="2:4" s="18" customFormat="1" ht="27" customHeight="1">
      <c r="B12" s="41" t="s">
        <v>77</v>
      </c>
      <c r="C12" s="44" t="s">
        <v>92</v>
      </c>
      <c r="D12" s="86">
        <f>IF('Плановый баланс'!E25&lt;&gt;0,'Плановый баланс'!E11/'Плановый баланс'!E25,0)</f>
        <v>1.3</v>
      </c>
    </row>
    <row r="13" spans="2:4" s="18" customFormat="1" ht="27" customHeight="1" thickBot="1">
      <c r="B13" s="43" t="s">
        <v>78</v>
      </c>
      <c r="C13" s="46" t="s">
        <v>93</v>
      </c>
      <c r="D13" s="88">
        <f>IF('Плановый баланс'!E25&lt;&gt;0,('Плановый баланс'!E11-'Плановый баланс'!E9)/'Плановый баланс'!E25,0)</f>
        <v>0.92</v>
      </c>
    </row>
    <row r="16" spans="3:4" s="141" customFormat="1" ht="18">
      <c r="C16" s="262"/>
      <c r="D16" s="262"/>
    </row>
    <row r="18" ht="12.75">
      <c r="C18" s="20"/>
    </row>
  </sheetData>
  <sheetProtection/>
  <mergeCells count="1">
    <mergeCell ref="C16:D16"/>
  </mergeCells>
  <printOptions/>
  <pageMargins left="0.7874015748031497" right="0.7874015748031497" top="0.984251968503937" bottom="0.984251968503937" header="0.5118110236220472" footer="0.5118110236220472"/>
  <pageSetup fitToHeight="1" fitToWidth="1" horizontalDpi="200" verticalDpi="2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6.00390625" style="0" customWidth="1"/>
    <col min="2" max="2" width="40.28125" style="0" bestFit="1" customWidth="1"/>
    <col min="3" max="3" width="16.00390625" style="25" customWidth="1"/>
    <col min="4" max="4" width="12.140625" style="0" customWidth="1"/>
    <col min="5" max="5" width="86.7109375" style="0" bestFit="1" customWidth="1"/>
  </cols>
  <sheetData>
    <row r="1" ht="13.5" thickBot="1"/>
    <row r="2" spans="2:5" ht="21" thickBot="1">
      <c r="B2" s="260" t="s">
        <v>102</v>
      </c>
      <c r="C2" s="261"/>
      <c r="E2" s="7" t="s">
        <v>110</v>
      </c>
    </row>
    <row r="3" spans="2:5" ht="12.75">
      <c r="B3" s="90" t="s">
        <v>148</v>
      </c>
      <c r="C3" s="91">
        <v>750000</v>
      </c>
      <c r="E3" s="22" t="s">
        <v>120</v>
      </c>
    </row>
    <row r="4" spans="2:5" ht="12.75">
      <c r="B4" s="92" t="s">
        <v>149</v>
      </c>
      <c r="C4" s="93">
        <v>300000</v>
      </c>
      <c r="E4" s="22" t="s">
        <v>106</v>
      </c>
    </row>
    <row r="5" spans="2:3" ht="12.75">
      <c r="B5" s="92" t="s">
        <v>150</v>
      </c>
      <c r="C5" s="93">
        <v>250000</v>
      </c>
    </row>
    <row r="6" spans="2:3" ht="12.75">
      <c r="B6" s="92" t="s">
        <v>151</v>
      </c>
      <c r="C6" s="93">
        <v>300000</v>
      </c>
    </row>
    <row r="7" spans="2:3" ht="12.75">
      <c r="B7" s="92" t="s">
        <v>152</v>
      </c>
      <c r="C7" s="93">
        <v>62500</v>
      </c>
    </row>
    <row r="8" spans="2:3" ht="12.75">
      <c r="B8" s="92" t="s">
        <v>153</v>
      </c>
      <c r="C8" s="93">
        <v>100000</v>
      </c>
    </row>
    <row r="9" spans="2:3" ht="12.75">
      <c r="B9" s="244" t="s">
        <v>154</v>
      </c>
      <c r="C9" s="245">
        <v>87500</v>
      </c>
    </row>
    <row r="10" spans="2:3" ht="12.75">
      <c r="B10" s="244" t="s">
        <v>155</v>
      </c>
      <c r="C10" s="245">
        <v>137500</v>
      </c>
    </row>
    <row r="11" spans="2:3" ht="12.75">
      <c r="B11" s="244" t="s">
        <v>156</v>
      </c>
      <c r="C11" s="245">
        <v>300000</v>
      </c>
    </row>
    <row r="12" spans="2:3" ht="12.75">
      <c r="B12" s="244" t="s">
        <v>146</v>
      </c>
      <c r="C12" s="245">
        <v>200000</v>
      </c>
    </row>
    <row r="13" spans="2:3" ht="13.5" thickBot="1">
      <c r="B13" s="94" t="s">
        <v>157</v>
      </c>
      <c r="C13" s="95">
        <v>100000</v>
      </c>
    </row>
    <row r="14" spans="2:3" ht="13.5" thickBot="1">
      <c r="B14" s="28" t="s">
        <v>101</v>
      </c>
      <c r="C14" s="50">
        <f>SUM(C3:C13)</f>
        <v>2587500</v>
      </c>
    </row>
    <row r="15" ht="13.5" thickBot="1">
      <c r="C15" s="51"/>
    </row>
    <row r="16" spans="2:3" ht="13.5" thickBot="1">
      <c r="B16" s="258" t="s">
        <v>30</v>
      </c>
      <c r="C16" s="259"/>
    </row>
    <row r="17" spans="2:5" ht="12.75">
      <c r="B17" s="29" t="str">
        <f>'Плановый баланс'!B6</f>
        <v>Денежные средства</v>
      </c>
      <c r="C17" s="52">
        <f>'Плановый баланс'!C6</f>
        <v>450000</v>
      </c>
      <c r="E17" t="s">
        <v>107</v>
      </c>
    </row>
    <row r="18" spans="2:5" ht="12.75">
      <c r="B18" s="30" t="str">
        <f>'Плановый баланс'!B7</f>
        <v>Ценные бумаги</v>
      </c>
      <c r="C18" s="53">
        <f>'Плановый баланс'!C7</f>
        <v>350000</v>
      </c>
      <c r="E18" t="s">
        <v>108</v>
      </c>
    </row>
    <row r="19" spans="2:3" ht="12.75">
      <c r="B19" s="30" t="str">
        <f>'Плановый баланс'!B8</f>
        <v>Дебиторская задолженность</v>
      </c>
      <c r="C19" s="53">
        <f>'Плановый баланс'!C8</f>
        <v>250000</v>
      </c>
    </row>
    <row r="20" spans="2:3" ht="12.75">
      <c r="B20" s="30" t="str">
        <f>'Плановый баланс'!B9</f>
        <v>Товарно-материальные запасы</v>
      </c>
      <c r="C20" s="53">
        <f>'Плановый баланс'!C9</f>
        <v>650000</v>
      </c>
    </row>
    <row r="21" spans="2:3" ht="13.5" thickBot="1">
      <c r="B21" s="31" t="str">
        <f>'Плановый баланс'!B10</f>
        <v>Другие текущие активы</v>
      </c>
      <c r="C21" s="54">
        <f>'Плановый баланс'!C10</f>
        <v>200000</v>
      </c>
    </row>
    <row r="22" spans="2:3" ht="13.5" thickBot="1">
      <c r="B22" s="32" t="s">
        <v>40</v>
      </c>
      <c r="C22" s="50">
        <f>SUM(C17:C21)</f>
        <v>1900000</v>
      </c>
    </row>
    <row r="23" spans="2:3" ht="13.5" thickBot="1">
      <c r="B23" s="10"/>
      <c r="C23" s="55"/>
    </row>
    <row r="24" spans="2:5" ht="13.5" thickBot="1">
      <c r="B24" s="23" t="s">
        <v>100</v>
      </c>
      <c r="C24" s="81">
        <f>C22-C14</f>
        <v>-687500</v>
      </c>
      <c r="E24" t="s">
        <v>111</v>
      </c>
    </row>
    <row r="27" spans="2:3" s="141" customFormat="1" ht="18">
      <c r="B27" s="248"/>
      <c r="C27" s="248"/>
    </row>
  </sheetData>
  <sheetProtection/>
  <mergeCells count="3">
    <mergeCell ref="B27:C27"/>
    <mergeCell ref="B16:C16"/>
    <mergeCell ref="B2:C2"/>
  </mergeCells>
  <printOptions/>
  <pageMargins left="0.75" right="0.75" top="1" bottom="1" header="0.5" footer="0.5"/>
  <pageSetup fitToHeight="1" fitToWidth="1"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3"/>
  <sheetViews>
    <sheetView zoomScalePageLayoutView="0" workbookViewId="0" topLeftCell="A1">
      <selection activeCell="B9" sqref="B9:E9"/>
    </sheetView>
  </sheetViews>
  <sheetFormatPr defaultColWidth="9.140625" defaultRowHeight="12.75"/>
  <cols>
    <col min="1" max="1" width="20.00390625" style="0" customWidth="1"/>
    <col min="2" max="2" width="28.8515625" style="19" bestFit="1" customWidth="1"/>
    <col min="3" max="3" width="14.421875" style="19" customWidth="1"/>
    <col min="4" max="4" width="13.7109375" style="19" customWidth="1"/>
    <col min="5" max="5" width="14.421875" style="19" customWidth="1"/>
    <col min="7" max="7" width="87.28125" style="0" bestFit="1" customWidth="1"/>
  </cols>
  <sheetData>
    <row r="1" ht="13.5" thickBot="1"/>
    <row r="2" spans="2:6" ht="19.5" customHeight="1" thickBot="1">
      <c r="B2" s="263" t="s">
        <v>64</v>
      </c>
      <c r="C2" s="264"/>
      <c r="D2" s="264"/>
      <c r="E2" s="265"/>
      <c r="F2" s="56"/>
    </row>
    <row r="3" spans="2:6" ht="27" customHeight="1" thickBot="1">
      <c r="B3" s="33"/>
      <c r="C3" s="33"/>
      <c r="D3" s="33"/>
      <c r="E3" s="33"/>
      <c r="F3" s="33"/>
    </row>
    <row r="4" spans="2:5" ht="13.5" thickBot="1">
      <c r="B4" s="32" t="s">
        <v>65</v>
      </c>
      <c r="C4" s="60">
        <f>BeginYear</f>
        <v>2007</v>
      </c>
      <c r="D4" s="60">
        <f>BeginYear+1</f>
        <v>2008</v>
      </c>
      <c r="E4" s="60">
        <f>BeginYear+2</f>
        <v>2009</v>
      </c>
    </row>
    <row r="5" spans="2:5" ht="12.75">
      <c r="B5" s="96" t="s">
        <v>158</v>
      </c>
      <c r="C5" s="97">
        <v>1000000</v>
      </c>
      <c r="D5" s="98">
        <v>1100000</v>
      </c>
      <c r="E5" s="99">
        <v>1200000</v>
      </c>
    </row>
    <row r="6" spans="2:5" ht="13.5" thickBot="1">
      <c r="B6" s="100" t="s">
        <v>159</v>
      </c>
      <c r="C6" s="101">
        <v>3375000</v>
      </c>
      <c r="D6" s="102">
        <v>3600000</v>
      </c>
      <c r="E6" s="103">
        <v>4000000</v>
      </c>
    </row>
    <row r="7" spans="2:5" ht="13.5" thickBot="1">
      <c r="B7" s="32" t="s">
        <v>66</v>
      </c>
      <c r="C7" s="61">
        <f>SUM(C5:C6)</f>
        <v>4375000</v>
      </c>
      <c r="D7" s="62">
        <f>SUM(D5:D6)</f>
        <v>4700000</v>
      </c>
      <c r="E7" s="63">
        <f>SUM(E5:E6)</f>
        <v>5200000</v>
      </c>
    </row>
    <row r="9" spans="2:6" ht="18">
      <c r="B9" s="262"/>
      <c r="C9" s="262"/>
      <c r="D9" s="262"/>
      <c r="E9" s="262"/>
      <c r="F9" s="141"/>
    </row>
    <row r="11" spans="2:6" s="141" customFormat="1" ht="21" customHeight="1">
      <c r="B11" s="19"/>
      <c r="C11" s="19"/>
      <c r="D11" s="19"/>
      <c r="E11" s="19"/>
      <c r="F11"/>
    </row>
    <row r="12" ht="12.75">
      <c r="B12" s="7" t="s">
        <v>110</v>
      </c>
    </row>
    <row r="13" ht="12.75">
      <c r="B13" s="22" t="s">
        <v>114</v>
      </c>
    </row>
  </sheetData>
  <sheetProtection/>
  <mergeCells count="2">
    <mergeCell ref="B9:E9"/>
    <mergeCell ref="B2:E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5"/>
  <sheetViews>
    <sheetView zoomScalePageLayoutView="0" workbookViewId="0" topLeftCell="A1">
      <selection activeCell="B11" sqref="B11:E11"/>
    </sheetView>
  </sheetViews>
  <sheetFormatPr defaultColWidth="9.140625" defaultRowHeight="12.75"/>
  <cols>
    <col min="2" max="2" width="41.8515625" style="0" bestFit="1" customWidth="1"/>
    <col min="3" max="5" width="14.421875" style="0" bestFit="1" customWidth="1"/>
    <col min="7" max="7" width="90.7109375" style="0" bestFit="1" customWidth="1"/>
  </cols>
  <sheetData>
    <row r="1" ht="13.5" thickBot="1"/>
    <row r="2" spans="2:5" s="7" customFormat="1" ht="21" thickBot="1">
      <c r="B2" s="266" t="s">
        <v>56</v>
      </c>
      <c r="C2" s="267"/>
      <c r="D2" s="267"/>
      <c r="E2" s="268"/>
    </row>
    <row r="3" spans="2:5" s="7" customFormat="1" ht="21" thickBot="1">
      <c r="B3" s="34"/>
      <c r="C3" s="34"/>
      <c r="D3" s="34"/>
      <c r="E3" s="34"/>
    </row>
    <row r="4" spans="2:5" s="7" customFormat="1" ht="21" thickBot="1">
      <c r="B4" s="64" t="s">
        <v>130</v>
      </c>
      <c r="C4" s="60">
        <f>BeginYear</f>
        <v>2007</v>
      </c>
      <c r="D4" s="60">
        <f>BeginYear+1</f>
        <v>2008</v>
      </c>
      <c r="E4" s="60">
        <f>BeginYear+2</f>
        <v>2009</v>
      </c>
    </row>
    <row r="5" spans="2:5" ht="12.75">
      <c r="B5" s="105" t="s">
        <v>160</v>
      </c>
      <c r="C5" s="104">
        <v>100000</v>
      </c>
      <c r="D5" s="104">
        <v>200000</v>
      </c>
      <c r="E5" s="104">
        <v>300000</v>
      </c>
    </row>
    <row r="6" spans="2:5" ht="12.75">
      <c r="B6" s="105" t="s">
        <v>162</v>
      </c>
      <c r="C6" s="106">
        <v>200000</v>
      </c>
      <c r="D6" s="106">
        <v>300000</v>
      </c>
      <c r="E6" s="106">
        <v>400000</v>
      </c>
    </row>
    <row r="7" spans="2:5" ht="13.5" thickBot="1">
      <c r="B7" s="105" t="s">
        <v>161</v>
      </c>
      <c r="C7" s="106">
        <v>150000</v>
      </c>
      <c r="D7" s="106">
        <v>250000</v>
      </c>
      <c r="E7" s="106">
        <v>350000</v>
      </c>
    </row>
    <row r="8" spans="2:6" ht="13.5" thickBot="1">
      <c r="B8" s="65" t="s">
        <v>57</v>
      </c>
      <c r="C8" s="66">
        <f>SUM(C5:C7)</f>
        <v>450000</v>
      </c>
      <c r="D8" s="67">
        <f>SUM(D5:D7)</f>
        <v>750000</v>
      </c>
      <c r="E8" s="68">
        <f>SUM(E5:E7)</f>
        <v>1050000</v>
      </c>
      <c r="F8" s="8"/>
    </row>
    <row r="9" spans="2:6" s="8" customFormat="1" ht="12.75">
      <c r="B9"/>
      <c r="C9"/>
      <c r="D9"/>
      <c r="E9"/>
      <c r="F9"/>
    </row>
    <row r="11" spans="2:6" ht="18">
      <c r="B11" s="269"/>
      <c r="C11" s="269"/>
      <c r="D11" s="269"/>
      <c r="E11" s="269"/>
      <c r="F11" s="141"/>
    </row>
    <row r="12" spans="2:6" s="141" customFormat="1" ht="18">
      <c r="B12"/>
      <c r="C12"/>
      <c r="D12"/>
      <c r="E12"/>
      <c r="F12"/>
    </row>
    <row r="13" ht="12.75">
      <c r="B13" s="7" t="s">
        <v>110</v>
      </c>
    </row>
    <row r="14" ht="12.75">
      <c r="B14" s="22" t="s">
        <v>117</v>
      </c>
    </row>
    <row r="15" ht="12.75">
      <c r="B15" s="22" t="s">
        <v>109</v>
      </c>
    </row>
  </sheetData>
  <sheetProtection/>
  <mergeCells count="2">
    <mergeCell ref="B2:E2"/>
    <mergeCell ref="B11:E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7"/>
  <sheetViews>
    <sheetView zoomScalePageLayoutView="0" workbookViewId="0" topLeftCell="A1">
      <selection activeCell="B17" sqref="B17:E17"/>
    </sheetView>
  </sheetViews>
  <sheetFormatPr defaultColWidth="9.140625" defaultRowHeight="12.75"/>
  <cols>
    <col min="2" max="2" width="38.57421875" style="0" bestFit="1" customWidth="1"/>
    <col min="3" max="5" width="15.421875" style="0" bestFit="1" customWidth="1"/>
    <col min="7" max="7" width="113.7109375" style="0" bestFit="1" customWidth="1"/>
  </cols>
  <sheetData>
    <row r="1" ht="13.5" thickBot="1"/>
    <row r="2" spans="2:7" ht="21" thickBot="1">
      <c r="B2" s="266" t="s">
        <v>55</v>
      </c>
      <c r="C2" s="267"/>
      <c r="D2" s="267"/>
      <c r="E2" s="268"/>
      <c r="F2" s="57"/>
      <c r="G2" s="7" t="s">
        <v>110</v>
      </c>
    </row>
    <row r="3" spans="2:7" ht="21" thickBot="1">
      <c r="B3" s="69"/>
      <c r="C3" s="121">
        <f>BeginYear</f>
        <v>2007</v>
      </c>
      <c r="D3" s="60">
        <f>BeginYear+1</f>
        <v>2008</v>
      </c>
      <c r="E3" s="122">
        <f>BeginYear+2</f>
        <v>2009</v>
      </c>
      <c r="G3" s="7"/>
    </row>
    <row r="4" spans="2:7" s="22" customFormat="1" ht="12.75">
      <c r="B4" s="138" t="str">
        <f>Себестоимость!B5</f>
        <v>Продажи лекарств</v>
      </c>
      <c r="C4" s="107">
        <v>500000</v>
      </c>
      <c r="D4" s="108">
        <v>1000000</v>
      </c>
      <c r="E4" s="109">
        <v>2500000</v>
      </c>
      <c r="G4" s="22" t="s">
        <v>118</v>
      </c>
    </row>
    <row r="5" spans="2:7" s="22" customFormat="1" ht="12.75">
      <c r="B5" s="139" t="str">
        <f>Себестоимость!B6</f>
        <v>Справочная</v>
      </c>
      <c r="C5" s="110">
        <v>750000</v>
      </c>
      <c r="D5" s="111">
        <v>1500000</v>
      </c>
      <c r="E5" s="112">
        <v>2250000</v>
      </c>
      <c r="G5" s="22" t="s">
        <v>109</v>
      </c>
    </row>
    <row r="6" spans="2:5" s="22" customFormat="1" ht="13.5" thickBot="1">
      <c r="B6" s="139" t="str">
        <f>Себестоимость!B7</f>
        <v>Выполнение заказов</v>
      </c>
      <c r="C6" s="110">
        <v>1500000</v>
      </c>
      <c r="D6" s="111">
        <v>3000000</v>
      </c>
      <c r="E6" s="112">
        <v>4500000</v>
      </c>
    </row>
    <row r="7" spans="2:5" s="8" customFormat="1" ht="13.5" thickBot="1">
      <c r="B7" s="35" t="s">
        <v>54</v>
      </c>
      <c r="C7" s="58">
        <f>SUM(C4:C6)</f>
        <v>2750000</v>
      </c>
      <c r="D7" s="58">
        <f>SUM(D4:D6)</f>
        <v>5500000</v>
      </c>
      <c r="E7" s="59">
        <f>SUM(E4:E6)</f>
        <v>9250000</v>
      </c>
    </row>
    <row r="8" ht="13.5" thickBot="1"/>
    <row r="9" spans="2:5" s="6" customFormat="1" ht="21" thickBot="1">
      <c r="B9" s="266" t="s">
        <v>60</v>
      </c>
      <c r="C9" s="267"/>
      <c r="D9" s="267"/>
      <c r="E9" s="268"/>
    </row>
    <row r="10" spans="2:5" s="6" customFormat="1" ht="21" thickBot="1">
      <c r="B10" s="69"/>
      <c r="C10" s="121">
        <f>BeginYear</f>
        <v>2007</v>
      </c>
      <c r="D10" s="60">
        <f>BeginYear+1</f>
        <v>2008</v>
      </c>
      <c r="E10" s="122">
        <f>BeginYear+2</f>
        <v>2009</v>
      </c>
    </row>
    <row r="11" spans="2:7" s="22" customFormat="1" ht="12.75">
      <c r="B11" s="37" t="str">
        <f>B4</f>
        <v>Продажи лекарств</v>
      </c>
      <c r="C11" s="113">
        <v>250000</v>
      </c>
      <c r="D11" s="108">
        <v>350000</v>
      </c>
      <c r="E11" s="109">
        <v>450000</v>
      </c>
      <c r="G11" s="24" t="s">
        <v>112</v>
      </c>
    </row>
    <row r="12" spans="2:5" s="22" customFormat="1" ht="12.75">
      <c r="B12" s="36" t="str">
        <f>B5</f>
        <v>Справочная</v>
      </c>
      <c r="C12" s="114">
        <v>250000</v>
      </c>
      <c r="D12" s="111">
        <v>300000</v>
      </c>
      <c r="E12" s="112">
        <v>400000</v>
      </c>
    </row>
    <row r="13" spans="2:7" s="22" customFormat="1" ht="13.5" thickBot="1">
      <c r="B13" s="36" t="str">
        <f>B6</f>
        <v>Выполнение заказов</v>
      </c>
      <c r="C13" s="114">
        <v>500000</v>
      </c>
      <c r="D13" s="111">
        <v>500000</v>
      </c>
      <c r="E13" s="112">
        <v>500000</v>
      </c>
      <c r="G13" s="24" t="s">
        <v>121</v>
      </c>
    </row>
    <row r="14" spans="2:7" s="8" customFormat="1" ht="13.5" thickBot="1">
      <c r="B14" s="65" t="s">
        <v>61</v>
      </c>
      <c r="C14" s="70">
        <f>SUM(C11:C13)</f>
        <v>1000000</v>
      </c>
      <c r="D14" s="71">
        <f>SUM(D11:D13)</f>
        <v>1150000</v>
      </c>
      <c r="E14" s="72">
        <f>SUM(E11:E13)</f>
        <v>1350000</v>
      </c>
      <c r="G14" s="24" t="s">
        <v>147</v>
      </c>
    </row>
    <row r="17" spans="2:5" s="141" customFormat="1" ht="18">
      <c r="B17" s="262"/>
      <c r="C17" s="262"/>
      <c r="D17" s="262"/>
      <c r="E17" s="262"/>
    </row>
  </sheetData>
  <sheetProtection/>
  <mergeCells count="3">
    <mergeCell ref="B9:E9"/>
    <mergeCell ref="B2:E2"/>
    <mergeCell ref="B17:E17"/>
  </mergeCells>
  <printOptions/>
  <pageMargins left="0.75" right="0.75" top="1" bottom="1" header="0.5" footer="0.5"/>
  <pageSetup fitToHeight="1" fitToWidth="1" horizontalDpi="200" verticalDpi="2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zoomScalePageLayoutView="0" workbookViewId="0" topLeftCell="A1">
      <selection activeCell="B15" sqref="B15:K15"/>
    </sheetView>
  </sheetViews>
  <sheetFormatPr defaultColWidth="9.140625" defaultRowHeight="12.75"/>
  <cols>
    <col min="1" max="1" width="4.57421875" style="0" customWidth="1"/>
    <col min="2" max="2" width="27.28125" style="0" customWidth="1"/>
    <col min="3" max="3" width="10.8515625" style="0" customWidth="1"/>
    <col min="4" max="4" width="12.8515625" style="0" customWidth="1"/>
    <col min="5" max="6" width="11.8515625" style="0" customWidth="1"/>
    <col min="7" max="7" width="12.8515625" style="0" customWidth="1"/>
    <col min="8" max="9" width="11.8515625" style="0" customWidth="1"/>
    <col min="10" max="10" width="12.8515625" style="0" customWidth="1"/>
    <col min="11" max="11" width="12.7109375" style="0" customWidth="1"/>
  </cols>
  <sheetData>
    <row r="1" ht="13.5" thickBot="1"/>
    <row r="2" spans="2:11" ht="21" thickBot="1">
      <c r="B2" s="260" t="s">
        <v>58</v>
      </c>
      <c r="C2" s="270"/>
      <c r="D2" s="270"/>
      <c r="E2" s="270"/>
      <c r="F2" s="270"/>
      <c r="G2" s="270"/>
      <c r="H2" s="270"/>
      <c r="I2" s="270"/>
      <c r="J2" s="270"/>
      <c r="K2" s="261"/>
    </row>
    <row r="3" spans="2:11" ht="21" thickBot="1"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2:11" ht="13.5" thickBot="1">
      <c r="B4" s="13"/>
      <c r="C4" s="271">
        <f>BeginYear</f>
        <v>2007</v>
      </c>
      <c r="D4" s="272"/>
      <c r="E4" s="273"/>
      <c r="F4" s="271">
        <f>BeginYear+1</f>
        <v>2008</v>
      </c>
      <c r="G4" s="272"/>
      <c r="H4" s="273"/>
      <c r="I4" s="271">
        <f>BeginYear+2</f>
        <v>2009</v>
      </c>
      <c r="J4" s="272"/>
      <c r="K4" s="273"/>
    </row>
    <row r="5" spans="2:11" ht="25.5" customHeight="1" thickBot="1">
      <c r="B5" s="13"/>
      <c r="C5" s="76" t="s">
        <v>131</v>
      </c>
      <c r="D5" s="77" t="s">
        <v>132</v>
      </c>
      <c r="E5" s="78" t="s">
        <v>133</v>
      </c>
      <c r="F5" s="76" t="s">
        <v>131</v>
      </c>
      <c r="G5" s="77" t="s">
        <v>132</v>
      </c>
      <c r="H5" s="78" t="s">
        <v>133</v>
      </c>
      <c r="I5" s="76" t="s">
        <v>131</v>
      </c>
      <c r="J5" s="77" t="s">
        <v>132</v>
      </c>
      <c r="K5" s="78" t="s">
        <v>133</v>
      </c>
    </row>
    <row r="6" spans="2:11" s="9" customFormat="1" ht="12.75">
      <c r="B6" s="115" t="s">
        <v>163</v>
      </c>
      <c r="C6" s="116">
        <v>30000</v>
      </c>
      <c r="D6" s="117">
        <v>1</v>
      </c>
      <c r="E6" s="73">
        <f aca="true" t="shared" si="0" ref="E6:E11">C6*D6</f>
        <v>30000</v>
      </c>
      <c r="F6" s="116">
        <v>45000</v>
      </c>
      <c r="G6" s="117">
        <v>1</v>
      </c>
      <c r="H6" s="73">
        <f aca="true" t="shared" si="1" ref="H6:H11">F6*G6</f>
        <v>45000</v>
      </c>
      <c r="I6" s="116">
        <v>60000</v>
      </c>
      <c r="J6" s="117">
        <v>1</v>
      </c>
      <c r="K6" s="73">
        <f aca="true" t="shared" si="2" ref="K6:K11">I6*J6</f>
        <v>60000</v>
      </c>
    </row>
    <row r="7" spans="2:11" s="9" customFormat="1" ht="12.75">
      <c r="B7" s="118" t="s">
        <v>164</v>
      </c>
      <c r="C7" s="119">
        <v>30000</v>
      </c>
      <c r="D7" s="120">
        <v>1</v>
      </c>
      <c r="E7" s="74">
        <f t="shared" si="0"/>
        <v>30000</v>
      </c>
      <c r="F7" s="119">
        <v>45000</v>
      </c>
      <c r="G7" s="120">
        <v>1</v>
      </c>
      <c r="H7" s="74">
        <f t="shared" si="1"/>
        <v>45000</v>
      </c>
      <c r="I7" s="119">
        <v>60000</v>
      </c>
      <c r="J7" s="120">
        <v>1</v>
      </c>
      <c r="K7" s="74">
        <f t="shared" si="2"/>
        <v>60000</v>
      </c>
    </row>
    <row r="8" spans="2:11" s="9" customFormat="1" ht="12.75">
      <c r="B8" s="118" t="s">
        <v>165</v>
      </c>
      <c r="C8" s="119">
        <v>30000</v>
      </c>
      <c r="D8" s="120">
        <v>1</v>
      </c>
      <c r="E8" s="74">
        <f t="shared" si="0"/>
        <v>30000</v>
      </c>
      <c r="F8" s="119">
        <v>45000</v>
      </c>
      <c r="G8" s="120">
        <v>1</v>
      </c>
      <c r="H8" s="74">
        <f t="shared" si="1"/>
        <v>45000</v>
      </c>
      <c r="I8" s="119">
        <v>60000</v>
      </c>
      <c r="J8" s="120">
        <v>1</v>
      </c>
      <c r="K8" s="74">
        <f t="shared" si="2"/>
        <v>60000</v>
      </c>
    </row>
    <row r="9" spans="2:11" s="9" customFormat="1" ht="12.75">
      <c r="B9" s="241" t="s">
        <v>166</v>
      </c>
      <c r="C9" s="242">
        <v>20000</v>
      </c>
      <c r="D9" s="243">
        <v>3</v>
      </c>
      <c r="E9" s="75">
        <f t="shared" si="0"/>
        <v>60000</v>
      </c>
      <c r="F9" s="242">
        <v>30000</v>
      </c>
      <c r="G9" s="243">
        <v>3</v>
      </c>
      <c r="H9" s="75">
        <f t="shared" si="1"/>
        <v>90000</v>
      </c>
      <c r="I9" s="242">
        <v>40000</v>
      </c>
      <c r="J9" s="243">
        <v>3</v>
      </c>
      <c r="K9" s="75">
        <f t="shared" si="2"/>
        <v>120000</v>
      </c>
    </row>
    <row r="10" spans="2:11" s="9" customFormat="1" ht="12.75">
      <c r="B10" s="241" t="s">
        <v>167</v>
      </c>
      <c r="C10" s="242">
        <v>15000</v>
      </c>
      <c r="D10" s="243">
        <v>3</v>
      </c>
      <c r="E10" s="75">
        <f t="shared" si="0"/>
        <v>45000</v>
      </c>
      <c r="F10" s="242">
        <v>25000</v>
      </c>
      <c r="G10" s="243">
        <v>3</v>
      </c>
      <c r="H10" s="75">
        <f t="shared" si="1"/>
        <v>75000</v>
      </c>
      <c r="I10" s="242">
        <v>30000</v>
      </c>
      <c r="J10" s="243">
        <v>3</v>
      </c>
      <c r="K10" s="75">
        <f t="shared" si="2"/>
        <v>90000</v>
      </c>
    </row>
    <row r="11" spans="2:11" s="9" customFormat="1" ht="13.5" thickBot="1">
      <c r="B11" s="241" t="s">
        <v>168</v>
      </c>
      <c r="C11" s="242">
        <v>15000</v>
      </c>
      <c r="D11" s="243">
        <v>1</v>
      </c>
      <c r="E11" s="75">
        <f t="shared" si="0"/>
        <v>15000</v>
      </c>
      <c r="F11" s="242">
        <v>25000</v>
      </c>
      <c r="G11" s="243">
        <v>1</v>
      </c>
      <c r="H11" s="75">
        <f t="shared" si="1"/>
        <v>25000</v>
      </c>
      <c r="I11" s="242">
        <v>30000</v>
      </c>
      <c r="J11" s="243">
        <v>1</v>
      </c>
      <c r="K11" s="75">
        <f t="shared" si="2"/>
        <v>30000</v>
      </c>
    </row>
    <row r="12" spans="2:11" s="7" customFormat="1" ht="13.5" thickBot="1">
      <c r="B12" s="82" t="s">
        <v>59</v>
      </c>
      <c r="C12" s="83">
        <f>AVERAGE(C6:C11)</f>
        <v>23333.333333333332</v>
      </c>
      <c r="D12" s="84">
        <f>SUM(D6:D11)</f>
        <v>10</v>
      </c>
      <c r="E12" s="85">
        <f>SUM(E6:E11)</f>
        <v>210000</v>
      </c>
      <c r="F12" s="83">
        <f>AVERAGE(F6:F11)</f>
        <v>35833.333333333336</v>
      </c>
      <c r="G12" s="84">
        <f>SUM(G6:G11)</f>
        <v>10</v>
      </c>
      <c r="H12" s="85">
        <f>SUM(H6:H11)</f>
        <v>325000</v>
      </c>
      <c r="I12" s="83">
        <f>AVERAGE(I6:I11)</f>
        <v>46666.666666666664</v>
      </c>
      <c r="J12" s="84">
        <f>SUM(J6:J11)</f>
        <v>10</v>
      </c>
      <c r="K12" s="85">
        <f>SUM(K6:K11)</f>
        <v>420000</v>
      </c>
    </row>
    <row r="13" spans="2:11" ht="12.75"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2:11" ht="12.75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2:11" s="141" customFormat="1" ht="22.5" customHeight="1">
      <c r="B15" s="262"/>
      <c r="C15" s="262"/>
      <c r="D15" s="262"/>
      <c r="E15" s="262"/>
      <c r="F15" s="262"/>
      <c r="G15" s="262"/>
      <c r="H15" s="262"/>
      <c r="I15" s="262"/>
      <c r="J15" s="262"/>
      <c r="K15" s="262"/>
    </row>
    <row r="19" ht="12.75">
      <c r="B19" s="7" t="s">
        <v>110</v>
      </c>
    </row>
    <row r="20" s="24" customFormat="1" ht="12.75">
      <c r="B20" s="24" t="s">
        <v>119</v>
      </c>
    </row>
    <row r="21" s="24" customFormat="1" ht="12.75">
      <c r="B21" s="24" t="s">
        <v>113</v>
      </c>
    </row>
    <row r="22" ht="12.75">
      <c r="B22" t="s">
        <v>122</v>
      </c>
    </row>
  </sheetData>
  <sheetProtection/>
  <mergeCells count="5">
    <mergeCell ref="B2:K2"/>
    <mergeCell ref="B15:K15"/>
    <mergeCell ref="I4:K4"/>
    <mergeCell ref="C4:E4"/>
    <mergeCell ref="F4:H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zoomScalePageLayoutView="0" workbookViewId="0" topLeftCell="A17">
      <selection activeCell="B35" sqref="B35:E35"/>
    </sheetView>
  </sheetViews>
  <sheetFormatPr defaultColWidth="9.140625" defaultRowHeight="12.75"/>
  <cols>
    <col min="1" max="1" width="8.421875" style="12" customWidth="1"/>
    <col min="2" max="2" width="46.57421875" style="18" customWidth="1"/>
    <col min="3" max="4" width="14.00390625" style="18" customWidth="1"/>
    <col min="5" max="5" width="14.421875" style="18" customWidth="1"/>
    <col min="6" max="6" width="14.00390625" style="18" customWidth="1"/>
    <col min="7" max="16384" width="9.140625" style="12" customWidth="1"/>
  </cols>
  <sheetData>
    <row r="1" ht="13.5" thickBot="1"/>
    <row r="2" spans="2:6" s="1" customFormat="1" ht="15.75" thickBot="1">
      <c r="B2" s="274" t="s">
        <v>62</v>
      </c>
      <c r="C2" s="275"/>
      <c r="D2" s="275"/>
      <c r="E2" s="275"/>
      <c r="F2" s="276"/>
    </row>
    <row r="3" spans="2:6" s="1" customFormat="1" ht="15.75" thickBot="1">
      <c r="B3" s="204"/>
      <c r="C3" s="204"/>
      <c r="D3" s="204"/>
      <c r="E3" s="204"/>
      <c r="F3" s="204"/>
    </row>
    <row r="4" spans="2:6" s="1" customFormat="1" ht="15.75" thickBot="1">
      <c r="B4" s="274" t="s">
        <v>30</v>
      </c>
      <c r="C4" s="275"/>
      <c r="D4" s="275"/>
      <c r="E4" s="275"/>
      <c r="F4" s="276"/>
    </row>
    <row r="5" spans="2:6" s="1" customFormat="1" ht="30.75" customHeight="1" thickBot="1">
      <c r="B5" s="161"/>
      <c r="C5" s="205">
        <f>BeginYear</f>
        <v>2007</v>
      </c>
      <c r="D5" s="206">
        <f>BeginYear+1</f>
        <v>2008</v>
      </c>
      <c r="E5" s="206">
        <f>BeginYear+2</f>
        <v>2009</v>
      </c>
      <c r="F5" s="207" t="s">
        <v>98</v>
      </c>
    </row>
    <row r="6" spans="2:6" s="1" customFormat="1" ht="15">
      <c r="B6" s="208" t="s">
        <v>31</v>
      </c>
      <c r="C6" s="209">
        <v>450000</v>
      </c>
      <c r="D6" s="209">
        <v>600000</v>
      </c>
      <c r="E6" s="209">
        <v>1000000</v>
      </c>
      <c r="F6" s="210">
        <f>E6-C6</f>
        <v>550000</v>
      </c>
    </row>
    <row r="7" spans="2:6" s="1" customFormat="1" ht="15">
      <c r="B7" s="211" t="s">
        <v>52</v>
      </c>
      <c r="C7" s="212">
        <v>350000</v>
      </c>
      <c r="D7" s="212">
        <v>400000</v>
      </c>
      <c r="E7" s="212">
        <v>500000</v>
      </c>
      <c r="F7" s="213">
        <f>E7-C7</f>
        <v>150000</v>
      </c>
    </row>
    <row r="8" spans="2:6" s="1" customFormat="1" ht="15">
      <c r="B8" s="211" t="s">
        <v>53</v>
      </c>
      <c r="C8" s="212">
        <v>250000</v>
      </c>
      <c r="D8" s="212">
        <v>450000</v>
      </c>
      <c r="E8" s="212">
        <v>500000</v>
      </c>
      <c r="F8" s="213">
        <f aca="true" t="shared" si="0" ref="F8:F16">E8-C8</f>
        <v>250000</v>
      </c>
    </row>
    <row r="9" spans="2:6" s="1" customFormat="1" ht="15">
      <c r="B9" s="211" t="s">
        <v>32</v>
      </c>
      <c r="C9" s="212">
        <v>650000</v>
      </c>
      <c r="D9" s="212">
        <v>750000</v>
      </c>
      <c r="E9" s="212">
        <v>950000</v>
      </c>
      <c r="F9" s="213">
        <f t="shared" si="0"/>
        <v>300000</v>
      </c>
    </row>
    <row r="10" spans="2:6" s="1" customFormat="1" ht="15.75" thickBot="1">
      <c r="B10" s="214" t="s">
        <v>33</v>
      </c>
      <c r="C10" s="215">
        <v>200000</v>
      </c>
      <c r="D10" s="215">
        <v>250000</v>
      </c>
      <c r="E10" s="215">
        <v>300000</v>
      </c>
      <c r="F10" s="216">
        <f t="shared" si="0"/>
        <v>100000</v>
      </c>
    </row>
    <row r="11" spans="2:6" s="4" customFormat="1" ht="21" customHeight="1" thickBot="1">
      <c r="B11" s="161" t="s">
        <v>34</v>
      </c>
      <c r="C11" s="163">
        <f>SUM(C6:C10)</f>
        <v>1900000</v>
      </c>
      <c r="D11" s="164">
        <f>SUM(D6:D10)</f>
        <v>2450000</v>
      </c>
      <c r="E11" s="164">
        <f>SUM(E6:E10)</f>
        <v>3250000</v>
      </c>
      <c r="F11" s="165"/>
    </row>
    <row r="12" spans="2:7" s="1" customFormat="1" ht="15">
      <c r="B12" s="208" t="s">
        <v>35</v>
      </c>
      <c r="C12" s="209">
        <v>550000</v>
      </c>
      <c r="D12" s="217">
        <v>670000</v>
      </c>
      <c r="E12" s="217">
        <v>850000</v>
      </c>
      <c r="F12" s="210">
        <f t="shared" si="0"/>
        <v>300000</v>
      </c>
      <c r="G12" s="14"/>
    </row>
    <row r="13" spans="2:7" s="1" customFormat="1" ht="25.5">
      <c r="B13" s="211" t="s">
        <v>36</v>
      </c>
      <c r="C13" s="212">
        <v>100000</v>
      </c>
      <c r="D13" s="218">
        <v>200000</v>
      </c>
      <c r="E13" s="218">
        <v>300000</v>
      </c>
      <c r="F13" s="213">
        <f t="shared" si="0"/>
        <v>200000</v>
      </c>
      <c r="G13" s="14"/>
    </row>
    <row r="14" spans="2:8" s="2" customFormat="1" ht="15">
      <c r="B14" s="166" t="s">
        <v>37</v>
      </c>
      <c r="C14" s="167">
        <f>C12-C13</f>
        <v>450000</v>
      </c>
      <c r="D14" s="168">
        <f>D12-D13</f>
        <v>470000</v>
      </c>
      <c r="E14" s="168">
        <f>E12-E13</f>
        <v>550000</v>
      </c>
      <c r="F14" s="169">
        <f t="shared" si="0"/>
        <v>100000</v>
      </c>
      <c r="G14" s="15"/>
      <c r="H14" s="15"/>
    </row>
    <row r="15" spans="2:7" s="1" customFormat="1" ht="15">
      <c r="B15" s="211" t="s">
        <v>38</v>
      </c>
      <c r="C15" s="212">
        <v>1440000</v>
      </c>
      <c r="D15" s="218">
        <v>2329095</v>
      </c>
      <c r="E15" s="218">
        <v>3179095</v>
      </c>
      <c r="F15" s="213">
        <f t="shared" si="0"/>
        <v>1739095</v>
      </c>
      <c r="G15" s="14"/>
    </row>
    <row r="16" spans="2:7" s="1" customFormat="1" ht="15.75" thickBot="1">
      <c r="B16" s="214" t="s">
        <v>39</v>
      </c>
      <c r="C16" s="215">
        <v>100000</v>
      </c>
      <c r="D16" s="219">
        <v>370000</v>
      </c>
      <c r="E16" s="219">
        <v>420000</v>
      </c>
      <c r="F16" s="216">
        <f t="shared" si="0"/>
        <v>320000</v>
      </c>
      <c r="G16" s="14"/>
    </row>
    <row r="17" spans="2:6" s="4" customFormat="1" ht="15.75" thickBot="1">
      <c r="B17" s="161" t="s">
        <v>40</v>
      </c>
      <c r="C17" s="170">
        <f>C11+SUM(C14:C16)</f>
        <v>3890000</v>
      </c>
      <c r="D17" s="170">
        <f>D11+SUM(D14:D16)+905</f>
        <v>5620000</v>
      </c>
      <c r="E17" s="170">
        <f>E11+SUM(E14:E16)+905</f>
        <v>7400000</v>
      </c>
      <c r="F17" s="181">
        <f>E17-C17</f>
        <v>3510000</v>
      </c>
    </row>
    <row r="18" spans="2:6" s="4" customFormat="1" ht="15.75" thickBot="1">
      <c r="B18" s="203"/>
      <c r="C18" s="203"/>
      <c r="D18" s="203"/>
      <c r="E18" s="203"/>
      <c r="F18" s="203"/>
    </row>
    <row r="19" spans="2:6" s="1" customFormat="1" ht="15.75" thickBot="1">
      <c r="B19" s="277" t="s">
        <v>41</v>
      </c>
      <c r="C19" s="278"/>
      <c r="D19" s="278"/>
      <c r="E19" s="278"/>
      <c r="F19" s="279"/>
    </row>
    <row r="20" spans="2:7" s="1" customFormat="1" ht="15">
      <c r="B20" s="220" t="s">
        <v>42</v>
      </c>
      <c r="C20" s="221">
        <v>700000</v>
      </c>
      <c r="D20" s="222">
        <v>800000</v>
      </c>
      <c r="E20" s="222">
        <v>900000</v>
      </c>
      <c r="F20" s="223">
        <f aca="true" t="shared" si="1" ref="F20:F27">E20-C20</f>
        <v>200000</v>
      </c>
      <c r="G20" s="14"/>
    </row>
    <row r="21" spans="2:7" s="1" customFormat="1" ht="15">
      <c r="B21" s="211" t="s">
        <v>43</v>
      </c>
      <c r="C21" s="224">
        <v>500000</v>
      </c>
      <c r="D21" s="225">
        <v>750000</v>
      </c>
      <c r="E21" s="225">
        <v>950000</v>
      </c>
      <c r="F21" s="226">
        <f t="shared" si="1"/>
        <v>450000</v>
      </c>
      <c r="G21" s="14"/>
    </row>
    <row r="22" spans="2:7" s="1" customFormat="1" ht="15">
      <c r="B22" s="211" t="s">
        <v>44</v>
      </c>
      <c r="C22" s="224">
        <v>100000</v>
      </c>
      <c r="D22" s="225">
        <v>150000</v>
      </c>
      <c r="E22" s="225">
        <v>200000</v>
      </c>
      <c r="F22" s="226">
        <f t="shared" si="1"/>
        <v>100000</v>
      </c>
      <c r="G22" s="14"/>
    </row>
    <row r="23" spans="2:7" s="1" customFormat="1" ht="15">
      <c r="B23" s="211" t="s">
        <v>45</v>
      </c>
      <c r="C23" s="224">
        <v>100000</v>
      </c>
      <c r="D23" s="225">
        <v>120000</v>
      </c>
      <c r="E23" s="225">
        <v>150000</v>
      </c>
      <c r="F23" s="226">
        <f t="shared" si="1"/>
        <v>50000</v>
      </c>
      <c r="G23" s="14"/>
    </row>
    <row r="24" spans="2:7" s="1" customFormat="1" ht="15.75" thickBot="1">
      <c r="B24" s="214" t="s">
        <v>46</v>
      </c>
      <c r="C24" s="227">
        <v>300000</v>
      </c>
      <c r="D24" s="228">
        <v>300000</v>
      </c>
      <c r="E24" s="228">
        <v>300000</v>
      </c>
      <c r="F24" s="229">
        <f t="shared" si="1"/>
        <v>0</v>
      </c>
      <c r="G24" s="14"/>
    </row>
    <row r="25" spans="2:7" s="4" customFormat="1" ht="15.75" thickBot="1">
      <c r="B25" s="161" t="s">
        <v>90</v>
      </c>
      <c r="C25" s="171">
        <f>SUM(C20:C24)</f>
        <v>1700000</v>
      </c>
      <c r="D25" s="172">
        <f>SUM(D20:D24)</f>
        <v>2120000</v>
      </c>
      <c r="E25" s="172">
        <f>SUM(E20:E24)</f>
        <v>2500000</v>
      </c>
      <c r="F25" s="230"/>
      <c r="G25" s="16"/>
    </row>
    <row r="26" spans="2:7" s="1" customFormat="1" ht="15">
      <c r="B26" s="208" t="s">
        <v>47</v>
      </c>
      <c r="C26" s="231">
        <v>600000</v>
      </c>
      <c r="D26" s="232">
        <v>700000</v>
      </c>
      <c r="E26" s="232">
        <v>800000</v>
      </c>
      <c r="F26" s="233">
        <f t="shared" si="1"/>
        <v>200000</v>
      </c>
      <c r="G26" s="14"/>
    </row>
    <row r="27" spans="2:7" s="1" customFormat="1" ht="15.75" thickBot="1">
      <c r="B27" s="214" t="s">
        <v>48</v>
      </c>
      <c r="C27" s="227">
        <v>300000</v>
      </c>
      <c r="D27" s="228">
        <v>500000</v>
      </c>
      <c r="E27" s="228">
        <v>700000</v>
      </c>
      <c r="F27" s="229">
        <f t="shared" si="1"/>
        <v>400000</v>
      </c>
      <c r="G27" s="14"/>
    </row>
    <row r="28" spans="2:7" s="4" customFormat="1" ht="15.75" thickBot="1">
      <c r="B28" s="161" t="s">
        <v>91</v>
      </c>
      <c r="C28" s="171">
        <f>SUM(C26:C27)+C25</f>
        <v>2600000</v>
      </c>
      <c r="D28" s="172">
        <f>SUM(D26:D27)</f>
        <v>1200000</v>
      </c>
      <c r="E28" s="172">
        <f>SUM(E26:E27)</f>
        <v>1500000</v>
      </c>
      <c r="F28" s="173"/>
      <c r="G28" s="27"/>
    </row>
    <row r="29" spans="2:7" s="1" customFormat="1" ht="15">
      <c r="B29" s="208" t="s">
        <v>49</v>
      </c>
      <c r="C29" s="234">
        <v>290000</v>
      </c>
      <c r="D29" s="235">
        <v>300000</v>
      </c>
      <c r="E29" s="235">
        <v>400000</v>
      </c>
      <c r="F29" s="233">
        <f>E29-C29</f>
        <v>110000</v>
      </c>
      <c r="G29" s="26"/>
    </row>
    <row r="30" spans="2:6" s="1" customFormat="1" ht="15.75" thickBot="1">
      <c r="B30" s="214" t="s">
        <v>145</v>
      </c>
      <c r="C30" s="227">
        <v>1000000</v>
      </c>
      <c r="D30" s="228">
        <v>2000000</v>
      </c>
      <c r="E30" s="228">
        <v>3000000</v>
      </c>
      <c r="F30" s="229">
        <f>E30-C30</f>
        <v>2000000</v>
      </c>
    </row>
    <row r="31" spans="2:7" s="4" customFormat="1" ht="15">
      <c r="B31" s="174" t="s">
        <v>50</v>
      </c>
      <c r="C31" s="175">
        <f>SUM(C29:C30)</f>
        <v>1290000</v>
      </c>
      <c r="D31" s="176">
        <f>SUM(D29:D30)</f>
        <v>2300000</v>
      </c>
      <c r="E31" s="176">
        <f>SUM(E29:E30)</f>
        <v>3400000</v>
      </c>
      <c r="F31" s="177">
        <f>E31-C31</f>
        <v>2110000</v>
      </c>
      <c r="G31" s="27"/>
    </row>
    <row r="32" spans="2:6" s="4" customFormat="1" ht="17.25" customHeight="1" thickBot="1">
      <c r="B32" s="178" t="s">
        <v>51</v>
      </c>
      <c r="C32" s="179">
        <f>C28+C31</f>
        <v>3890000</v>
      </c>
      <c r="D32" s="180">
        <f>D25+D28+D31</f>
        <v>5620000</v>
      </c>
      <c r="E32" s="180">
        <f>E25+E28+E31</f>
        <v>7400000</v>
      </c>
      <c r="F32" s="181">
        <f>E32-C32</f>
        <v>3510000</v>
      </c>
    </row>
    <row r="34" spans="3:5" ht="12.75">
      <c r="C34" s="140"/>
      <c r="D34" s="140"/>
      <c r="E34" s="140"/>
    </row>
    <row r="35" spans="2:6" s="143" customFormat="1" ht="18">
      <c r="B35" s="262"/>
      <c r="C35" s="262"/>
      <c r="D35" s="262"/>
      <c r="E35" s="262"/>
      <c r="F35" s="142"/>
    </row>
    <row r="37" spans="3:5" ht="12.75">
      <c r="C37" s="140"/>
      <c r="D37" s="140"/>
      <c r="E37" s="140"/>
    </row>
    <row r="38" ht="12.75">
      <c r="B38" s="7" t="s">
        <v>110</v>
      </c>
    </row>
    <row r="39" ht="12.75">
      <c r="B39" s="7"/>
    </row>
    <row r="40" ht="12.75">
      <c r="B40" s="22" t="s">
        <v>129</v>
      </c>
    </row>
    <row r="41" ht="12.75">
      <c r="B41" s="12" t="s">
        <v>123</v>
      </c>
    </row>
    <row r="42" ht="15">
      <c r="B42" s="1"/>
    </row>
  </sheetData>
  <sheetProtection/>
  <mergeCells count="4">
    <mergeCell ref="B2:F2"/>
    <mergeCell ref="B19:F19"/>
    <mergeCell ref="B4:F4"/>
    <mergeCell ref="B35:E35"/>
  </mergeCells>
  <printOptions/>
  <pageMargins left="0.75" right="0.75" top="1" bottom="1" header="0.5" footer="0.5"/>
  <pageSetup fitToHeight="1" fitToWidth="1" horizontalDpi="200" verticalDpi="2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3"/>
  <sheetViews>
    <sheetView zoomScalePageLayoutView="0" workbookViewId="0" topLeftCell="A1">
      <selection activeCell="B18" sqref="B18:E18"/>
    </sheetView>
  </sheetViews>
  <sheetFormatPr defaultColWidth="9.140625" defaultRowHeight="12.75"/>
  <cols>
    <col min="1" max="1" width="9.140625" style="1" customWidth="1"/>
    <col min="2" max="2" width="37.00390625" style="17" customWidth="1"/>
    <col min="3" max="3" width="14.8515625" style="17" customWidth="1"/>
    <col min="4" max="5" width="15.00390625" style="17" customWidth="1"/>
    <col min="6" max="16384" width="9.140625" style="1" customWidth="1"/>
  </cols>
  <sheetData>
    <row r="1" ht="15.75" thickBot="1"/>
    <row r="2" spans="2:5" ht="14.25" customHeight="1" thickBot="1">
      <c r="B2" s="280" t="s">
        <v>9</v>
      </c>
      <c r="C2" s="281"/>
      <c r="D2" s="281"/>
      <c r="E2" s="282"/>
    </row>
    <row r="3" spans="2:5" ht="14.25" customHeight="1" thickBot="1">
      <c r="B3" s="145"/>
      <c r="C3" s="146">
        <f>BeginYear</f>
        <v>2007</v>
      </c>
      <c r="D3" s="147">
        <f>BeginYear+1</f>
        <v>2008</v>
      </c>
      <c r="E3" s="147">
        <f>BeginYear+2</f>
        <v>2009</v>
      </c>
    </row>
    <row r="4" spans="2:5" ht="14.25" customHeight="1">
      <c r="B4" s="148" t="s">
        <v>0</v>
      </c>
      <c r="C4" s="149">
        <f>Продажи_2007</f>
        <v>2750000</v>
      </c>
      <c r="D4" s="149">
        <f>Продажи_2008</f>
        <v>5500000</v>
      </c>
      <c r="E4" s="149">
        <f>Продажи_2009</f>
        <v>9250000</v>
      </c>
    </row>
    <row r="5" spans="2:5" ht="14.25" customHeight="1">
      <c r="B5" s="150" t="s">
        <v>1</v>
      </c>
      <c r="C5" s="151">
        <f>Себестоимость_2007</f>
        <v>450000</v>
      </c>
      <c r="D5" s="151">
        <f>Себестоимость_2008</f>
        <v>750000</v>
      </c>
      <c r="E5" s="151">
        <f>Себестоимость_2009</f>
        <v>1050000</v>
      </c>
    </row>
    <row r="6" spans="2:5" s="2" customFormat="1" ht="14.25" customHeight="1">
      <c r="B6" s="152" t="s">
        <v>2</v>
      </c>
      <c r="C6" s="153">
        <f>C4-C5</f>
        <v>2300000</v>
      </c>
      <c r="D6" s="153">
        <f>D4-D5</f>
        <v>4750000</v>
      </c>
      <c r="E6" s="153">
        <f>E4-E5</f>
        <v>8200000</v>
      </c>
    </row>
    <row r="7" spans="2:5" ht="14.25" customHeight="1">
      <c r="B7" s="150" t="s">
        <v>27</v>
      </c>
      <c r="C7" s="151">
        <f>Затраты_продажи_2007+Затраты_штат_2007</f>
        <v>1210000</v>
      </c>
      <c r="D7" s="151">
        <f>Затраты_продажи_2008+Затраты_штат_2008</f>
        <v>1475000</v>
      </c>
      <c r="E7" s="151">
        <f>Затраты_продажи_2009+Затраты_штат_2009</f>
        <v>1770000</v>
      </c>
    </row>
    <row r="8" spans="2:5" s="3" customFormat="1" ht="14.25" customHeight="1">
      <c r="B8" s="100" t="s">
        <v>3</v>
      </c>
      <c r="C8" s="154">
        <v>20000</v>
      </c>
      <c r="D8" s="154">
        <v>30000</v>
      </c>
      <c r="E8" s="154">
        <v>40000</v>
      </c>
    </row>
    <row r="9" spans="2:5" s="2" customFormat="1" ht="14.25" customHeight="1">
      <c r="B9" s="150" t="s">
        <v>4</v>
      </c>
      <c r="C9" s="151">
        <f>C7+C8</f>
        <v>1230000</v>
      </c>
      <c r="D9" s="151">
        <f>D7+D8</f>
        <v>1505000</v>
      </c>
      <c r="E9" s="151">
        <f>E7+E8</f>
        <v>1810000</v>
      </c>
    </row>
    <row r="10" spans="2:5" s="2" customFormat="1" ht="14.25" customHeight="1">
      <c r="B10" s="152" t="s">
        <v>5</v>
      </c>
      <c r="C10" s="153">
        <f>C6-C9</f>
        <v>1070000</v>
      </c>
      <c r="D10" s="153">
        <f>D6-D9</f>
        <v>3245000</v>
      </c>
      <c r="E10" s="153">
        <f>E6-E9</f>
        <v>6390000</v>
      </c>
    </row>
    <row r="11" spans="2:5" ht="14.25" customHeight="1">
      <c r="B11" s="155" t="s">
        <v>28</v>
      </c>
      <c r="C11" s="156">
        <f>('Плановый баланс'!C20+'Плановый баланс'!C21)*0.15</f>
        <v>180000</v>
      </c>
      <c r="D11" s="156">
        <f>('Плановый баланс'!D20+'Плановый баланс'!D21)*0.15</f>
        <v>232500</v>
      </c>
      <c r="E11" s="156">
        <f>('Плановый баланс'!E20+'Плановый баланс'!E21)*0.15</f>
        <v>277500</v>
      </c>
    </row>
    <row r="12" spans="2:5" s="3" customFormat="1" ht="14.25" customHeight="1">
      <c r="B12" s="100" t="s">
        <v>29</v>
      </c>
      <c r="C12" s="154">
        <v>20000</v>
      </c>
      <c r="D12" s="154">
        <v>40000</v>
      </c>
      <c r="E12" s="154">
        <v>20000</v>
      </c>
    </row>
    <row r="13" spans="2:5" ht="14.25" customHeight="1">
      <c r="B13" s="150" t="s">
        <v>6</v>
      </c>
      <c r="C13" s="151">
        <f>C11+C12</f>
        <v>200000</v>
      </c>
      <c r="D13" s="151">
        <f>D11+D12</f>
        <v>272500</v>
      </c>
      <c r="E13" s="151">
        <f>E11+E12</f>
        <v>297500</v>
      </c>
    </row>
    <row r="14" spans="2:5" s="2" customFormat="1" ht="14.25" customHeight="1" thickBot="1">
      <c r="B14" s="157" t="s">
        <v>7</v>
      </c>
      <c r="C14" s="153">
        <f>C10-C13</f>
        <v>870000</v>
      </c>
      <c r="D14" s="153">
        <f>D10-D13</f>
        <v>2972500</v>
      </c>
      <c r="E14" s="153">
        <f>E10-E13</f>
        <v>6092500</v>
      </c>
    </row>
    <row r="15" spans="2:5" s="3" customFormat="1" ht="14.25" customHeight="1" thickBot="1">
      <c r="B15" s="158" t="s">
        <v>10</v>
      </c>
      <c r="C15" s="159">
        <f>C6*0.3</f>
        <v>690000</v>
      </c>
      <c r="D15" s="160">
        <f>D6*0.3</f>
        <v>1425000</v>
      </c>
      <c r="E15" s="159">
        <f>E6*0.3</f>
        <v>2460000</v>
      </c>
    </row>
    <row r="16" spans="2:5" s="4" customFormat="1" ht="14.25" customHeight="1" thickBot="1">
      <c r="B16" s="161" t="s">
        <v>8</v>
      </c>
      <c r="C16" s="162">
        <f>C14-C15</f>
        <v>180000</v>
      </c>
      <c r="D16" s="162">
        <f>D14-D15</f>
        <v>1547500</v>
      </c>
      <c r="E16" s="162">
        <f>E14-E15</f>
        <v>3632500</v>
      </c>
    </row>
    <row r="18" spans="2:5" s="143" customFormat="1" ht="18">
      <c r="B18" s="262"/>
      <c r="C18" s="262"/>
      <c r="D18" s="262"/>
      <c r="E18" s="262"/>
    </row>
    <row r="20" ht="15">
      <c r="B20" s="7" t="s">
        <v>110</v>
      </c>
    </row>
    <row r="21" ht="15">
      <c r="B21" s="22" t="s">
        <v>124</v>
      </c>
    </row>
    <row r="22" ht="15">
      <c r="B22" s="18" t="s">
        <v>142</v>
      </c>
    </row>
    <row r="23" ht="15">
      <c r="B23" s="12" t="s">
        <v>123</v>
      </c>
    </row>
  </sheetData>
  <sheetProtection/>
  <mergeCells count="2">
    <mergeCell ref="B2:E2"/>
    <mergeCell ref="B18:E18"/>
  </mergeCells>
  <printOptions/>
  <pageMargins left="0.75" right="0.75" top="1" bottom="1" header="0.5" footer="0.5"/>
  <pageSetup fitToHeight="1" fitToWidth="1" horizontalDpi="200" verticalDpi="2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9"/>
  <sheetViews>
    <sheetView zoomScalePageLayoutView="0" workbookViewId="0" topLeftCell="A3">
      <selection activeCell="B29" sqref="B29:C29"/>
    </sheetView>
  </sheetViews>
  <sheetFormatPr defaultColWidth="9.140625" defaultRowHeight="12.75"/>
  <cols>
    <col min="2" max="2" width="73.28125" style="17" customWidth="1"/>
    <col min="3" max="3" width="14.140625" style="17" bestFit="1" customWidth="1"/>
    <col min="4" max="4" width="11.421875" style="0" customWidth="1"/>
  </cols>
  <sheetData>
    <row r="1" ht="15.75" thickBot="1"/>
    <row r="2" spans="2:3" ht="18.75" customHeight="1" thickBot="1">
      <c r="B2" s="266" t="s">
        <v>63</v>
      </c>
      <c r="C2" s="268"/>
    </row>
    <row r="3" spans="2:3" ht="21" thickBot="1">
      <c r="B3" s="38"/>
      <c r="C3" s="38"/>
    </row>
    <row r="4" spans="2:7" ht="16.5" thickBot="1">
      <c r="B4" s="283" t="s">
        <v>11</v>
      </c>
      <c r="C4" s="284"/>
      <c r="G4" s="5"/>
    </row>
    <row r="5" spans="2:3" ht="12.75">
      <c r="B5" s="182" t="s">
        <v>8</v>
      </c>
      <c r="C5" s="183">
        <f>'План прибылей и убытков'!E16</f>
        <v>3632500</v>
      </c>
    </row>
    <row r="6" spans="2:7" s="5" customFormat="1" ht="31.5" customHeight="1">
      <c r="B6" s="184" t="s">
        <v>12</v>
      </c>
      <c r="C6" s="185"/>
      <c r="G6" s="9"/>
    </row>
    <row r="7" spans="2:7" ht="12.75">
      <c r="B7" s="186" t="s">
        <v>3</v>
      </c>
      <c r="C7" s="187">
        <f>'План прибылей и убытков'!E8</f>
        <v>40000</v>
      </c>
      <c r="G7" s="5"/>
    </row>
    <row r="8" spans="2:7" s="5" customFormat="1" ht="12.75">
      <c r="B8" s="184" t="s">
        <v>13</v>
      </c>
      <c r="C8" s="185"/>
      <c r="G8"/>
    </row>
    <row r="9" spans="2:3" ht="12.75">
      <c r="B9" s="186" t="s">
        <v>14</v>
      </c>
      <c r="C9" s="187">
        <f>'Плановый баланс'!F8</f>
        <v>250000</v>
      </c>
    </row>
    <row r="10" spans="2:3" ht="12.75">
      <c r="B10" s="186" t="s">
        <v>15</v>
      </c>
      <c r="C10" s="187">
        <f>'Плановый баланс'!F9</f>
        <v>300000</v>
      </c>
    </row>
    <row r="11" spans="2:3" ht="12.75">
      <c r="B11" s="186" t="s">
        <v>16</v>
      </c>
      <c r="C11" s="187">
        <f>'Плановый баланс'!F21</f>
        <v>450000</v>
      </c>
    </row>
    <row r="12" spans="2:3" ht="13.5" thickBot="1">
      <c r="B12" s="188" t="s">
        <v>125</v>
      </c>
      <c r="C12" s="189">
        <f>'Плановый баланс'!F16</f>
        <v>320000</v>
      </c>
    </row>
    <row r="13" spans="2:3" ht="13.5" thickBot="1">
      <c r="B13" s="190" t="s">
        <v>18</v>
      </c>
      <c r="C13" s="191">
        <f>SUM(C5:C12)</f>
        <v>4992500</v>
      </c>
    </row>
    <row r="14" spans="2:3" ht="16.5" thickBot="1">
      <c r="B14" s="39"/>
      <c r="C14" s="40"/>
    </row>
    <row r="15" spans="2:3" ht="16.5" thickBot="1">
      <c r="B15" s="285" t="s">
        <v>19</v>
      </c>
      <c r="C15" s="286"/>
    </row>
    <row r="16" spans="2:3" s="9" customFormat="1" ht="12.75">
      <c r="B16" s="192" t="s">
        <v>20</v>
      </c>
      <c r="C16" s="193">
        <v>700000</v>
      </c>
    </row>
    <row r="17" spans="2:3" s="9" customFormat="1" ht="12.75">
      <c r="B17" s="194" t="s">
        <v>126</v>
      </c>
      <c r="C17" s="195">
        <v>200000</v>
      </c>
    </row>
    <row r="18" spans="2:3" s="9" customFormat="1" ht="13.5" thickBot="1">
      <c r="B18" s="196" t="s">
        <v>17</v>
      </c>
      <c r="C18" s="197">
        <v>0</v>
      </c>
    </row>
    <row r="19" spans="2:3" ht="13.5" thickBot="1">
      <c r="B19" s="190" t="s">
        <v>21</v>
      </c>
      <c r="C19" s="191">
        <f>SUM(C16:C18)</f>
        <v>900000</v>
      </c>
    </row>
    <row r="20" spans="2:3" ht="16.5" thickBot="1">
      <c r="B20" s="39"/>
      <c r="C20" s="40"/>
    </row>
    <row r="21" spans="2:3" ht="16.5" thickBot="1">
      <c r="B21" s="79" t="s">
        <v>22</v>
      </c>
      <c r="C21" s="80"/>
    </row>
    <row r="22" spans="2:3" s="9" customFormat="1" ht="12.75">
      <c r="B22" s="192" t="s">
        <v>23</v>
      </c>
      <c r="C22" s="193">
        <v>1500000</v>
      </c>
    </row>
    <row r="23" spans="2:3" s="9" customFormat="1" ht="12.75">
      <c r="B23" s="194" t="s">
        <v>24</v>
      </c>
      <c r="C23" s="195">
        <v>0</v>
      </c>
    </row>
    <row r="24" spans="2:3" ht="12.75">
      <c r="B24" s="198" t="s">
        <v>25</v>
      </c>
      <c r="C24" s="199">
        <f>SUM(C22:C23)</f>
        <v>1500000</v>
      </c>
    </row>
    <row r="25" spans="2:3" ht="12.75">
      <c r="B25" s="198" t="s">
        <v>26</v>
      </c>
      <c r="C25" s="199">
        <f>C13+C19+C24</f>
        <v>7392500</v>
      </c>
    </row>
    <row r="26" spans="2:3" ht="12.75">
      <c r="B26" s="200" t="s">
        <v>143</v>
      </c>
      <c r="C26" s="199">
        <f>'Плановый баланс'!C6</f>
        <v>450000</v>
      </c>
    </row>
    <row r="27" spans="2:3" ht="13.5" thickBot="1">
      <c r="B27" s="201" t="s">
        <v>144</v>
      </c>
      <c r="C27" s="202">
        <f>'Плановый баланс'!E6</f>
        <v>1000000</v>
      </c>
    </row>
    <row r="29" spans="2:3" s="141" customFormat="1" ht="18">
      <c r="B29" s="262"/>
      <c r="C29" s="262"/>
    </row>
  </sheetData>
  <sheetProtection/>
  <mergeCells count="4">
    <mergeCell ref="B4:C4"/>
    <mergeCell ref="B29:C29"/>
    <mergeCell ref="B15:C15"/>
    <mergeCell ref="B2:C2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2006-07-31T11:15:27Z</cp:lastPrinted>
  <dcterms:created xsi:type="dcterms:W3CDTF">2006-07-10T17:50:02Z</dcterms:created>
  <dcterms:modified xsi:type="dcterms:W3CDTF">2010-05-17T19:45:57Z</dcterms:modified>
  <cp:category/>
  <cp:version/>
  <cp:contentType/>
  <cp:contentStatus/>
</cp:coreProperties>
</file>